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Mindener Stadtwerke\Energiedaten_Netznutzung\Netzwirtschaft Gas\Verträge\Lieferantenrahmenverträge\Anlagen und Vorlagen\KOV X\"/>
    </mc:Choice>
  </mc:AlternateContent>
  <bookViews>
    <workbookView xWindow="0" yWindow="0" windowWidth="20490" windowHeight="762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  <externalReference r:id="rId11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7" l="1"/>
  <c r="E58" i="17"/>
  <c r="E59" i="17"/>
  <c r="E60" i="17"/>
  <c r="W26" i="7" l="1"/>
  <c r="V26" i="7"/>
  <c r="U26" i="7"/>
  <c r="T26" i="7"/>
  <c r="S26" i="7"/>
  <c r="R26" i="7"/>
  <c r="X26" i="7" s="1"/>
  <c r="P26" i="7"/>
  <c r="O26" i="7"/>
  <c r="N26" i="7"/>
  <c r="M26" i="7"/>
  <c r="L26" i="7"/>
  <c r="K26" i="7"/>
  <c r="J26" i="7"/>
  <c r="I26" i="7"/>
  <c r="Q26" i="7" s="1"/>
  <c r="H26" i="7"/>
  <c r="F26" i="7"/>
  <c r="W25" i="7"/>
  <c r="V25" i="7"/>
  <c r="U25" i="7"/>
  <c r="T25" i="7"/>
  <c r="S25" i="7"/>
  <c r="R25" i="7"/>
  <c r="X25" i="7" s="1"/>
  <c r="P25" i="7"/>
  <c r="O25" i="7"/>
  <c r="N25" i="7"/>
  <c r="M25" i="7"/>
  <c r="L25" i="7"/>
  <c r="K25" i="7"/>
  <c r="J25" i="7"/>
  <c r="I25" i="7"/>
  <c r="H25" i="7"/>
  <c r="Q25" i="7" s="1"/>
  <c r="F25" i="7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Q24" i="7" s="1"/>
  <c r="H24" i="7"/>
  <c r="F24" i="7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H23" i="7"/>
  <c r="Q23" i="7" s="1"/>
  <c r="F23" i="7"/>
  <c r="W22" i="7"/>
  <c r="V22" i="7"/>
  <c r="U22" i="7"/>
  <c r="T22" i="7"/>
  <c r="S22" i="7"/>
  <c r="R22" i="7"/>
  <c r="X22" i="7" s="1"/>
  <c r="P22" i="7"/>
  <c r="O22" i="7"/>
  <c r="N22" i="7"/>
  <c r="M22" i="7"/>
  <c r="L22" i="7"/>
  <c r="K22" i="7"/>
  <c r="J22" i="7"/>
  <c r="I22" i="7"/>
  <c r="Q22" i="7" s="1"/>
  <c r="H22" i="7"/>
  <c r="F22" i="7"/>
  <c r="W21" i="7"/>
  <c r="V21" i="7"/>
  <c r="U21" i="7"/>
  <c r="T21" i="7"/>
  <c r="S21" i="7"/>
  <c r="R21" i="7"/>
  <c r="X21" i="7" s="1"/>
  <c r="P21" i="7"/>
  <c r="O21" i="7"/>
  <c r="N21" i="7"/>
  <c r="M21" i="7"/>
  <c r="L21" i="7"/>
  <c r="K21" i="7"/>
  <c r="J21" i="7"/>
  <c r="I21" i="7"/>
  <c r="Q21" i="7" s="1"/>
  <c r="H21" i="7"/>
  <c r="F21" i="7"/>
  <c r="W20" i="7"/>
  <c r="V20" i="7"/>
  <c r="U20" i="7"/>
  <c r="T20" i="7"/>
  <c r="S20" i="7"/>
  <c r="X20" i="7" s="1"/>
  <c r="R20" i="7"/>
  <c r="P20" i="7"/>
  <c r="O20" i="7"/>
  <c r="N20" i="7"/>
  <c r="M20" i="7"/>
  <c r="L20" i="7"/>
  <c r="K20" i="7"/>
  <c r="J20" i="7"/>
  <c r="I20" i="7"/>
  <c r="Q20" i="7" s="1"/>
  <c r="H20" i="7"/>
  <c r="F20" i="7"/>
  <c r="W19" i="7"/>
  <c r="V19" i="7"/>
  <c r="U19" i="7"/>
  <c r="T19" i="7"/>
  <c r="S19" i="7"/>
  <c r="R19" i="7"/>
  <c r="X19" i="7" s="1"/>
  <c r="P19" i="7"/>
  <c r="O19" i="7"/>
  <c r="N19" i="7"/>
  <c r="M19" i="7"/>
  <c r="L19" i="7"/>
  <c r="K19" i="7"/>
  <c r="J19" i="7"/>
  <c r="I19" i="7"/>
  <c r="Q19" i="7" s="1"/>
  <c r="H19" i="7"/>
  <c r="F19" i="7"/>
  <c r="W18" i="7"/>
  <c r="V18" i="7"/>
  <c r="U18" i="7"/>
  <c r="T18" i="7"/>
  <c r="S18" i="7"/>
  <c r="R18" i="7"/>
  <c r="X18" i="7" s="1"/>
  <c r="P18" i="7"/>
  <c r="O18" i="7"/>
  <c r="N18" i="7"/>
  <c r="M18" i="7"/>
  <c r="L18" i="7"/>
  <c r="K18" i="7"/>
  <c r="J18" i="7"/>
  <c r="I18" i="7"/>
  <c r="Q18" i="7" s="1"/>
  <c r="H18" i="7"/>
  <c r="F18" i="7"/>
  <c r="W17" i="7"/>
  <c r="V17" i="7"/>
  <c r="U17" i="7"/>
  <c r="T17" i="7"/>
  <c r="S17" i="7"/>
  <c r="R17" i="7"/>
  <c r="X17" i="7" s="1"/>
  <c r="P17" i="7"/>
  <c r="O17" i="7"/>
  <c r="N17" i="7"/>
  <c r="M17" i="7"/>
  <c r="L17" i="7"/>
  <c r="K17" i="7"/>
  <c r="J17" i="7"/>
  <c r="I17" i="7"/>
  <c r="Q17" i="7" s="1"/>
  <c r="H17" i="7"/>
  <c r="F17" i="7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Q16" i="7" s="1"/>
  <c r="H16" i="7"/>
  <c r="F16" i="7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Q15" i="7" s="1"/>
  <c r="H15" i="7"/>
  <c r="F15" i="7"/>
  <c r="W14" i="7"/>
  <c r="V14" i="7"/>
  <c r="U14" i="7"/>
  <c r="T14" i="7"/>
  <c r="S14" i="7"/>
  <c r="R14" i="7"/>
  <c r="X14" i="7" s="1"/>
  <c r="P14" i="7"/>
  <c r="O14" i="7"/>
  <c r="N14" i="7"/>
  <c r="M14" i="7"/>
  <c r="L14" i="7"/>
  <c r="K14" i="7"/>
  <c r="J14" i="7"/>
  <c r="I14" i="7"/>
  <c r="Q14" i="7" s="1"/>
  <c r="H14" i="7"/>
  <c r="F14" i="7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J13" i="7"/>
  <c r="I13" i="7"/>
  <c r="Q13" i="7" s="1"/>
  <c r="H13" i="7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Q12" i="7" s="1"/>
  <c r="H12" i="7"/>
  <c r="F12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E21" i="17" s="1"/>
  <c r="H21" i="17"/>
  <c r="L21" i="17"/>
  <c r="I21" i="17"/>
  <c r="M21" i="17"/>
  <c r="J21" i="17"/>
  <c r="N21" i="17"/>
  <c r="D57" i="17"/>
  <c r="D67" i="17"/>
  <c r="E32" i="17" l="1"/>
  <c r="G66" i="17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56" i="17" l="1"/>
  <c r="E6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<sst xmlns="http://schemas.openxmlformats.org/spreadsheetml/2006/main" count="1401" uniqueCount="679">
  <si>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</si>
  <si>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</si>
  <si>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</si>
  <si>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</si>
  <si>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</si>
  <si>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</si>
  <si>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</si>
  <si>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</si>
  <si>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</si>
  <si>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</si>
  <si>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</si>
  <si>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</si>
  <si>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</si>
  <si>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</si>
  <si>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</si>
  <si>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</si>
  <si>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</si>
  <si>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</si>
  <si>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</si>
  <si>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</si>
  <si>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</si>
  <si>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</si>
  <si>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</si>
  <si>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</si>
  <si>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</si>
  <si>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</si>
  <si>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</si>
  <si>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</si>
  <si>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</si>
  <si>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</si>
  <si>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</si>
  <si>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</si>
  <si>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</si>
  <si>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</si>
  <si>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</si>
  <si>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</si>
  <si>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</si>
  <si>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</si>
  <si>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</si>
  <si>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</si>
  <si>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</si>
  <si>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</si>
  <si>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</si>
  <si>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</si>
  <si>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</si>
  <si>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</si>
  <si>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</si>
  <si>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</si>
  <si>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</si>
  <si>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</si>
  <si>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</si>
  <si>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</si>
  <si>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</si>
  <si>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</si>
  <si>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</si>
  <si>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</si>
  <si>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</si>
  <si>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</si>
  <si>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</si>
  <si>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</si>
  <si>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</si>
  <si>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</si>
  <si>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</si>
  <si>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</si>
  <si>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</si>
  <si>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</si>
  <si>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</si>
  <si>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</si>
  <si>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</si>
  <si>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</si>
  <si>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</si>
  <si>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</si>
  <si>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</si>
  <si>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</si>
  <si>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</si>
  <si>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</si>
  <si>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</si>
  <si>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</si>
  <si>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</si>
  <si>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</si>
  <si>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</si>
  <si>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</si>
  <si>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</si>
  <si>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</si>
  <si>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</si>
  <si>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</si>
  <si>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</si>
  <si>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</si>
  <si>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</si>
  <si>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</si>
  <si>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</si>
  <si>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</si>
  <si>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</si>
  <si>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</si>
  <si>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</si>
  <si>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</si>
  <si>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</si>
  <si>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</si>
  <si>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</si>
  <si>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</si>
  <si>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</si>
  <si>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</si>
  <si>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</si>
  <si>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</si>
  <si>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</si>
  <si>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</si>
  <si>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</si>
  <si>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</si>
  <si>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</si>
  <si>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</si>
  <si>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</si>
  <si>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</si>
  <si>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</si>
  <si>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</si>
  <si>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</si>
  <si>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</si>
  <si>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</si>
  <si>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</si>
  <si>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</si>
  <si>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</si>
  <si>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</si>
  <si>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</si>
  <si>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</si>
  <si>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</si>
  <si>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</si>
  <si>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</si>
  <si>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</si>
  <si>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</si>
  <si>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</si>
  <si>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</si>
  <si>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</si>
  <si>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</si>
  <si>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</si>
  <si>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</si>
  <si>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</si>
  <si>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</si>
  <si>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</si>
  <si>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</si>
  <si>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</si>
  <si>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</si>
  <si>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</si>
  <si>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</si>
  <si>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</si>
  <si>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</si>
  <si>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</si>
  <si>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</si>
  <si>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</si>
  <si>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</si>
  <si>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</si>
  <si>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</si>
  <si>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</si>
  <si>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</si>
  <si>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</si>
  <si>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</si>
  <si>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</si>
  <si>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</si>
  <si>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</si>
  <si>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</si>
  <si>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</si>
  <si>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</si>
  <si>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</si>
  <si>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</si>
  <si>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</si>
  <si>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</si>
  <si>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</si>
  <si>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</si>
  <si>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</si>
  <si>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</si>
  <si>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</si>
  <si>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</si>
  <si>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</si>
  <si>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</si>
  <si>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</si>
  <si>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</si>
  <si>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</si>
  <si>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</si>
  <si>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</si>
  <si>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</si>
  <si>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</si>
  <si>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</si>
  <si>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</si>
  <si>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</si>
  <si>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</si>
  <si>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</si>
  <si>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</si>
  <si>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</si>
  <si>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</si>
  <si>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</si>
  <si>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</si>
  <si>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</si>
  <si>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</si>
  <si>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</si>
  <si>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</si>
  <si>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</si>
  <si>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</si>
  <si>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</si>
  <si>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</si>
  <si>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</si>
  <si>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</si>
  <si>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</si>
  <si>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</si>
  <si>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</si>
  <si>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</si>
  <si>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</si>
  <si>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</si>
  <si>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</si>
  <si>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</si>
  <si>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</si>
  <si>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</si>
  <si>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</si>
  <si>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</si>
  <si>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</si>
  <si>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</si>
  <si>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</si>
  <si>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</si>
  <si>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</si>
  <si>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</si>
  <si>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</si>
  <si>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</si>
  <si>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</si>
  <si>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</si>
  <si>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</si>
  <si>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</si>
  <si>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</si>
  <si>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</si>
  <si>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</si>
  <si>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</si>
  <si>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</si>
  <si>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</si>
  <si>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</si>
  <si>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</si>
  <si>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</si>
  <si>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</si>
  <si>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</si>
  <si>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</si>
  <si>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</si>
  <si>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</si>
  <si>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</si>
  <si>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</si>
  <si>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</si>
  <si>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</si>
  <si>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</si>
  <si>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</si>
  <si>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</si>
  <si>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</si>
  <si>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</si>
  <si>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</si>
  <si>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</si>
  <si>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</si>
  <si>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</si>
  <si>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</si>
  <si>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</si>
  <si>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</si>
  <si>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</si>
  <si>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</si>
  <si>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</si>
  <si>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</si>
  <si>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</si>
  <si>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</si>
  <si>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</si>
  <si>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</si>
  <si>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</si>
  <si>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</si>
  <si>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</si>
  <si>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</si>
  <si>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</si>
  <si>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</si>
  <si>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</si>
  <si>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</si>
  <si>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</si>
  <si>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</si>
  <si>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</si>
  <si>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</si>
  <si>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</si>
  <si>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</si>
  <si>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</si>
  <si>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</si>
  <si>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</si>
  <si>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</si>
  <si>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</si>
  <si>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</si>
  <si>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</si>
  <si>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</si>
  <si>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</si>
  <si>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</si>
  <si>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</si>
  <si>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</si>
  <si>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</si>
  <si>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</si>
  <si>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</si>
  <si>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</si>
  <si>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</si>
  <si>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</si>
  <si>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</si>
  <si>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</si>
  <si>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</si>
  <si>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</si>
  <si>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</si>
  <si>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</si>
  <si>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</si>
  <si>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</si>
  <si>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</si>
  <si>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</si>
  <si>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</si>
  <si>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</si>
  <si>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</si>
  <si>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</si>
  <si>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</si>
  <si>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</si>
  <si>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</si>
  <si>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</si>
  <si>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</si>
  <si>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</si>
  <si>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</si>
  <si>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</si>
  <si>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</si>
  <si>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</si>
  <si>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</si>
  <si>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</si>
  <si>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</si>
  <si>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</si>
  <si>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</si>
  <si>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</si>
  <si>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</si>
  <si>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</si>
  <si>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</si>
  <si>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</si>
  <si>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</si>
  <si>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</si>
  <si>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</si>
  <si>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</si>
  <si>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</si>
  <si>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</si>
  <si>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</si>
  <si>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</si>
  <si>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</si>
  <si>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</si>
  <si>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</si>
  <si>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</si>
  <si>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</si>
  <si>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</si>
  <si>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</si>
  <si>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</si>
  <si>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</si>
  <si>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</si>
  <si>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</si>
  <si>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</si>
  <si>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</si>
  <si>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</si>
  <si>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</si>
  <si>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</si>
  <si>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</si>
  <si>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</si>
  <si>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</si>
  <si>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</si>
  <si>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</si>
  <si>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</si>
  <si>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</si>
  <si>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</si>
  <si>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</si>
  <si>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</si>
  <si>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</si>
  <si>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</si>
  <si>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</si>
  <si>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</si>
  <si>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</si>
  <si>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</si>
  <si>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</si>
  <si>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</si>
  <si>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</si>
  <si>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</si>
  <si>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</si>
  <si>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</si>
  <si>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</si>
  <si>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</si>
  <si>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</si>
  <si>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</si>
  <si>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</si>
  <si>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</si>
  <si>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</si>
  <si>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</si>
  <si>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</si>
  <si>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</si>
  <si>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</si>
  <si>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</si>
  <si>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</si>
  <si>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</si>
  <si>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</si>
  <si>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</si>
  <si>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</si>
  <si>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</si>
  <si>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</si>
  <si>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</si>
  <si>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</si>
  <si>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</si>
  <si>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</si>
  <si>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</si>
  <si>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</si>
  <si>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</si>
  <si>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</si>
  <si>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</si>
  <si>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</si>
  <si>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</si>
  <si>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</si>
  <si>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</si>
  <si>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</si>
  <si>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</si>
  <si>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</si>
  <si>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</si>
  <si>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</si>
  <si>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</si>
  <si>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</si>
  <si>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</si>
  <si>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</si>
  <si>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</si>
  <si>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</si>
  <si>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</si>
  <si>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</si>
  <si>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</si>
  <si>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</si>
  <si>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</si>
  <si>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</si>
  <si>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</si>
  <si>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</si>
  <si>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</si>
  <si>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</si>
  <si>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</si>
  <si>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</si>
  <si>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</si>
  <si>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</si>
  <si>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</si>
  <si>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</si>
  <si>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</si>
  <si>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</si>
  <si>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</si>
  <si>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</si>
  <si>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</si>
  <si>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</si>
  <si>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</si>
  <si>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</si>
  <si>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</si>
  <si>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</si>
  <si>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</si>
  <si>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</si>
  <si>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</si>
  <si>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</si>
  <si>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</si>
  <si>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</si>
  <si>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</si>
  <si>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</si>
  <si>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</si>
  <si>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</si>
  <si>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</si>
  <si>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</si>
  <si>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</si>
  <si>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</si>
  <si>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</si>
  <si>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</si>
  <si>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</si>
  <si>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</si>
  <si>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</si>
  <si>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</si>
  <si>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</si>
  <si>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</si>
  <si>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</si>
  <si>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</si>
  <si>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</si>
  <si>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</si>
  <si>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</si>
  <si>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</si>
  <si>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</si>
  <si>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</si>
  <si>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</si>
  <si>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</si>
  <si>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</si>
  <si>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</si>
  <si>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</si>
  <si>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</si>
  <si>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</si>
  <si>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</si>
  <si>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</si>
  <si>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</si>
  <si>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</si>
  <si>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</si>
  <si>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</si>
  <si>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</si>
  <si>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</si>
  <si>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</si>
  <si>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</si>
  <si>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</si>
  <si>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</si>
  <si>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</si>
  <si>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</si>
  <si>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</si>
  <si>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</si>
  <si>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</si>
  <si>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</si>
  <si>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</si>
  <si>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</si>
  <si>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</si>
  <si>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</si>
  <si>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</si>
  <si>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</si>
  <si>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</si>
  <si>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</si>
  <si>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</si>
  <si>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</si>
  <si>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</si>
  <si>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</si>
  <si>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</si>
  <si>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</si>
  <si>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</si>
  <si>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</si>
  <si>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</si>
  <si>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</si>
  <si>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</si>
  <si>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</si>
  <si>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</si>
  <si>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</si>
  <si>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</si>
  <si>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</si>
  <si>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</si>
  <si>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</si>
  <si>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</si>
  <si>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</si>
  <si>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</si>
  <si>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</si>
  <si>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</si>
  <si>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</si>
  <si>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</si>
  <si>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</si>
  <si>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</si>
  <si>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</si>
  <si>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</si>
  <si>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</si>
  <si>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</si>
  <si>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</si>
  <si>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</si>
  <si>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</si>
  <si>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</si>
  <si>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</si>
  <si>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</si>
  <si>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</si>
  <si>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</si>
  <si>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</si>
  <si>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</si>
  <si>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</si>
  <si>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</si>
  <si>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</si>
  <si>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</si>
  <si>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</si>
  <si>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</si>
  <si>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</si>
  <si>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</si>
  <si>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</si>
  <si>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</si>
  <si>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</si>
  <si>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</si>
  <si>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</si>
  <si>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</si>
  <si>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</si>
  <si>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</si>
  <si>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</si>
  <si>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</si>
  <si>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</si>
  <si>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</si>
  <si>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</si>
  <si>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</si>
  <si>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</si>
  <si>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</si>
  <si>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</si>
  <si>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</si>
  <si>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</si>
  <si>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</si>
  <si>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</si>
  <si>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</si>
  <si>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</si>
  <si>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</si>
  <si>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</si>
  <si>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</si>
  <si>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</si>
  <si>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</si>
  <si>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</si>
  <si>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</si>
  <si>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</si>
  <si>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</si>
  <si>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</si>
  <si>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</si>
  <si>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</si>
  <si>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</si>
  <si>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</si>
  <si>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</si>
  <si>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</si>
  <si>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</si>
  <si>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</si>
  <si>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</si>
  <si>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</si>
  <si>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</si>
  <si>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</si>
  <si>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</si>
  <si>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</si>
  <si>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</si>
  <si>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</si>
  <si>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</si>
  <si>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</si>
  <si>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</si>
  <si>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</si>
  <si>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</si>
  <si>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</si>
  <si>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</si>
  <si>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</si>
  <si>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</si>
  <si>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</si>
  <si>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</si>
  <si>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</si>
  <si>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</si>
  <si>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</si>
  <si>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</si>
  <si>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</si>
  <si>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</si>
  <si>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</si>
  <si>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</si>
  <si>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</si>
  <si>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</si>
  <si>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</si>
  <si>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</si>
  <si>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</si>
  <si>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</si>
  <si>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</si>
  <si>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</si>
  <si>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</si>
  <si>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</si>
  <si>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</si>
  <si>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</si>
  <si>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</si>
  <si>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</si>
  <si>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</si>
  <si>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</si>
  <si>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</si>
  <si>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</si>
  <si>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</si>
  <si>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</si>
  <si>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</si>
  <si>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</si>
  <si>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</si>
  <si>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</si>
  <si>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</si>
  <si>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</si>
  <si>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</si>
  <si>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</si>
  <si>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</si>
  <si>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</si>
  <si>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</si>
  <si>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</si>
  <si>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</si>
  <si>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</si>
  <si>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</si>
  <si>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Mindener Stadtwerke GmbH</t>
  </si>
  <si>
    <t>9870120800007</t>
  </si>
  <si>
    <t>Großer Domhof 3</t>
  </si>
  <si>
    <t>Minden</t>
  </si>
  <si>
    <t>Martin Seehafer</t>
  </si>
  <si>
    <t>marktpartner-netz@mindener-stadtwerke.de</t>
  </si>
  <si>
    <t>0571/955 955-75</t>
  </si>
  <si>
    <t>THE0NKL701208000</t>
  </si>
  <si>
    <t>DE_GBA04</t>
  </si>
  <si>
    <t>DE_GBD04</t>
  </si>
  <si>
    <t>DE_GBH04</t>
  </si>
  <si>
    <t>DE_GGA04</t>
  </si>
  <si>
    <t>DE_GGB04</t>
  </si>
  <si>
    <t>DE_GHA04</t>
  </si>
  <si>
    <t>DE_GHD04</t>
  </si>
  <si>
    <t>DE_GMK04</t>
  </si>
  <si>
    <t>DE_GMF04</t>
  </si>
  <si>
    <t>DE_GPD04</t>
  </si>
  <si>
    <t>DE_GWA04</t>
  </si>
  <si>
    <t>DE_GKO04</t>
  </si>
  <si>
    <t>Virtuelle Wetterstation</t>
  </si>
  <si>
    <t>regionale Gasprognosetemperatur 9870120800007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</si>
</sst>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Alignment="1" applyProtection="1">
      <protection hidden="1"/>
    </xf>
    <xf numFmtId="1" fontId="12" fillId="0" borderId="0" xfId="3" applyNumberFormat="1" applyFont="1" applyFill="1" applyAlignment="1" applyProtection="1"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dener%20Stadtwerke/Energiedaten_Netznutzung/Netzwirtschaft%20Gas/Vertr&#228;ge/Lieferantenrahmenvertr&#228;ge/Anlagen%20MSW%20f&#252;r%20Lieferant%20-%20KOV%20X/MSW_Verfahrensspezifische_Parameter_Gas_201611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dener%20Stadtwerke\Energiedaten_Netznutzung\Netzwirtschaft%20Gas\Vertr&#228;ge\Lieferantenrahmenvertr&#228;ge\Anlagen%20MSW%20f&#252;r%20Lieferant%20-%20KOV%20X\MSW_Verfahrensspezifische_Parameter_Gas_2016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P-Verfahr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5.85546875" bestFit="1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44562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32423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Mindener Stadtwerke GmbH</v>
      </c>
      <c r="E28" s="38"/>
      <c r="F28" s="11"/>
      <c r="G28" s="2"/>
    </row>
    <row r="29" spans="1:15">
      <c r="B29" s="15"/>
      <c r="C29" s="22" t="s">
        <v>393</v>
      </c>
      <c r="D29" s="41" t="s">
        <v>657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64" priority="2">
      <formula>IF(CELL("Zeile",D30)&lt;$D$25+CELL("Zeile",$D$29),1,0)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Mindener Stadtwerke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Mindener Stadtwerke GmbH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9870120800007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44562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7" t="s">
        <v>616</v>
      </c>
      <c r="I11" s="277" t="s">
        <v>617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653</v>
      </c>
      <c r="D13" s="49" t="s">
        <v>664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575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613</v>
      </c>
      <c r="D19" s="49" t="s">
        <v>609</v>
      </c>
      <c r="E19" s="15"/>
      <c r="H19" s="273" t="s">
        <v>609</v>
      </c>
      <c r="I19" s="273" t="s">
        <v>610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611</v>
      </c>
      <c r="E20" s="15"/>
      <c r="H20" s="273" t="s">
        <v>612</v>
      </c>
      <c r="I20" s="8" t="s">
        <v>608</v>
      </c>
      <c r="J20" s="8"/>
      <c r="K20" s="8"/>
      <c r="L20" s="274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3" t="s">
        <v>611</v>
      </c>
      <c r="I21" s="273" t="s">
        <v>618</v>
      </c>
      <c r="J21" s="8"/>
      <c r="K21" s="8"/>
      <c r="L21" s="276" t="s">
        <v>619</v>
      </c>
      <c r="M21" s="276" t="s">
        <v>621</v>
      </c>
      <c r="N21" s="276" t="s">
        <v>620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5" t="s">
        <v>624</v>
      </c>
      <c r="J24" s="275" t="s">
        <v>625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6" t="s">
        <v>626</v>
      </c>
      <c r="I25" s="276" t="s">
        <v>627</v>
      </c>
      <c r="J25" s="276" t="s">
        <v>628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6" t="s">
        <v>629</v>
      </c>
      <c r="I26" s="276" t="s">
        <v>630</v>
      </c>
      <c r="J26" s="276" t="s">
        <v>631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632</v>
      </c>
      <c r="I29" s="276" t="s">
        <v>633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634</v>
      </c>
      <c r="I30" s="273" t="s">
        <v>629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15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60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5" t="s">
        <v>657</v>
      </c>
    </row>
    <row r="46" spans="2:39" ht="18" customHeight="1">
      <c r="C46" s="22" t="s">
        <v>587</v>
      </c>
      <c r="D46" s="45"/>
    </row>
    <row r="47" spans="2:39" ht="18" customHeight="1">
      <c r="C47" s="22" t="s">
        <v>588</v>
      </c>
      <c r="D47" s="45"/>
    </row>
    <row r="48" spans="2:39" ht="18" customHeight="1">
      <c r="C48" s="22" t="s">
        <v>589</v>
      </c>
      <c r="D48" s="45"/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</sheetData>
  <conditionalFormatting sqref="D46:D59">
    <cfRule type="expression" dxfId="62" priority="17">
      <formula>IF(CELL("Zeile",D46)&lt;$D$43+CELL("Zeile",$D$45),1,0)</formula>
    </cfRule>
  </conditionalFormatting>
  <conditionalFormatting sqref="D46:D59">
    <cfRule type="expression" dxfId="61" priority="16">
      <formula>IF(CELL(D46)&lt;$D$33+27,1,0)</formula>
    </cfRule>
  </conditionalFormatting>
  <conditionalFormatting sqref="D20">
    <cfRule type="expression" dxfId="60" priority="15">
      <formula>IF($D$19=$H$19,1,0)</formula>
    </cfRule>
  </conditionalFormatting>
  <conditionalFormatting sqref="D28">
    <cfRule type="expression" dxfId="59" priority="4">
      <formula>IF($D$15="synthetisch",1,0)</formula>
    </cfRule>
  </conditionalFormatting>
  <conditionalFormatting sqref="D25">
    <cfRule type="expression" dxfId="58" priority="2">
      <formula>IF(AND($D$24=$I$24,$D$23=$H$23),1,0)</formula>
    </cfRule>
  </conditionalFormatting>
  <conditionalFormatting sqref="D23:D25">
    <cfRule type="expression" dxfId="57" priority="5">
      <formula>IF($D$15="analytisch",1,0)</formula>
    </cfRule>
  </conditionalFormatting>
  <conditionalFormatting sqref="D24">
    <cfRule type="expression" dxfId="56" priority="3">
      <formula>IF($D$23="nein",1)</formula>
    </cfRule>
  </conditionalFormatting>
  <conditionalFormatting sqref="D45">
    <cfRule type="expression" dxfId="55" priority="1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45.28515625" style="129" customWidth="1"/>
    <col min="6" max="6" width="12.7109375" style="129" customWidth="1"/>
    <col min="7" max="7" width="13.42578125" style="129" customWidth="1"/>
    <col min="8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354" t="s">
        <v>657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">
        <v>657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55" t="s">
        <v>658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44562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299">
        <v>1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6" t="str">
        <f>INDEX('SLP-Verfahren'!D45:D59,'SLP-Temp-Gebiet #01'!F10)</f>
        <v>Mindener Stadtwerke GmbH</v>
      </c>
      <c r="G11" s="300"/>
      <c r="H11" s="298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6" t="s">
        <v>584</v>
      </c>
      <c r="D13" s="356"/>
      <c r="E13" s="356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7" t="s">
        <v>445</v>
      </c>
      <c r="D14" s="357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7" t="s">
        <v>385</v>
      </c>
      <c r="D15" s="357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523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525</v>
      </c>
      <c r="D21" s="154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537</v>
      </c>
      <c r="D22" s="187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7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520</v>
      </c>
      <c r="D24" s="189"/>
      <c r="E24" s="157" t="s">
        <v>677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 t="s">
        <v>678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503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655</v>
      </c>
      <c r="T26" s="210" t="s">
        <v>656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519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526</v>
      </c>
      <c r="D32" s="187" t="s">
        <v>255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533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605</v>
      </c>
      <c r="D36" s="154" t="s">
        <v>606</v>
      </c>
      <c r="E36" s="157" t="s">
        <v>604</v>
      </c>
      <c r="F36" s="157" t="s">
        <v>604</v>
      </c>
      <c r="G36" s="157" t="s">
        <v>604</v>
      </c>
      <c r="H36" s="157" t="s">
        <v>604</v>
      </c>
      <c r="I36" s="157" t="s">
        <v>604</v>
      </c>
      <c r="J36" s="157" t="s">
        <v>604</v>
      </c>
      <c r="K36" s="157" t="s">
        <v>604</v>
      </c>
      <c r="L36" s="157" t="s">
        <v>604</v>
      </c>
      <c r="M36" s="157" t="s">
        <v>604</v>
      </c>
      <c r="N36" s="157" t="s">
        <v>604</v>
      </c>
      <c r="O36" s="186" t="s">
        <v>142</v>
      </c>
      <c r="Q36" s="212"/>
      <c r="R36" s="68" t="s">
        <v>604</v>
      </c>
      <c r="S36" s="68" t="s">
        <v>607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538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530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536</v>
      </c>
      <c r="D47" s="202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543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518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525</v>
      </c>
      <c r="D56" s="154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537</v>
      </c>
      <c r="D57" s="187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57" t="str">
        <f>E24</f>
        <v>Virtuelle Wetterstation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521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 t="str">
        <f>E25</f>
        <v>regionale Gasprognosetemperatur 9870120800007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519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526</v>
      </c>
      <c r="D66" s="187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6"/>
    </row>
    <row r="67" spans="2:15">
      <c r="B67" s="184"/>
      <c r="C67" s="185" t="s">
        <v>533</v>
      </c>
      <c r="D67" s="187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605</v>
      </c>
      <c r="D70" s="154" t="s">
        <v>606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538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54" priority="30">
      <formula>IF(F$20&lt;=$F$18,1,0)</formula>
    </cfRule>
  </conditionalFormatting>
  <conditionalFormatting sqref="E33:N37">
    <cfRule type="expression" dxfId="53" priority="29">
      <formula>IF(E$31&lt;=$F$29,1,0)</formula>
    </cfRule>
  </conditionalFormatting>
  <conditionalFormatting sqref="E26:N26">
    <cfRule type="expression" dxfId="52" priority="28">
      <formula>IF(E$20&lt;=$F$18,1,0)</formula>
    </cfRule>
  </conditionalFormatting>
  <conditionalFormatting sqref="E26:N26">
    <cfRule type="expression" dxfId="51" priority="27">
      <formula>IF(E$20&lt;=$F$18,1,0)</formula>
    </cfRule>
  </conditionalFormatting>
  <conditionalFormatting sqref="E57:N60">
    <cfRule type="expression" dxfId="50" priority="24">
      <formula>IF(E$55&lt;=$F$53,1,0)</formula>
    </cfRule>
  </conditionalFormatting>
  <conditionalFormatting sqref="E61:N61">
    <cfRule type="expression" dxfId="49" priority="23">
      <formula>IF(E$55&lt;=$F$53,1,0)</formula>
    </cfRule>
  </conditionalFormatting>
  <conditionalFormatting sqref="E67:N69">
    <cfRule type="expression" dxfId="48" priority="17">
      <formula>IF(E$65&lt;=$F$63,1,0)</formula>
    </cfRule>
  </conditionalFormatting>
  <conditionalFormatting sqref="E66:N69 E71:N71">
    <cfRule type="expression" dxfId="47" priority="15">
      <formula>IF(E$65&gt;$F$63,1,0)</formula>
    </cfRule>
  </conditionalFormatting>
  <conditionalFormatting sqref="E57:N61">
    <cfRule type="expression" dxfId="46" priority="14">
      <formula>IF(E$55&gt;$F$53,1,0)</formula>
    </cfRule>
  </conditionalFormatting>
  <conditionalFormatting sqref="E26:N26 F21:N25">
    <cfRule type="expression" dxfId="45" priority="13">
      <formula>IF(E$20&gt;$F$18,1,0)</formula>
    </cfRule>
  </conditionalFormatting>
  <conditionalFormatting sqref="E33:N37">
    <cfRule type="expression" dxfId="44" priority="12">
      <formula>IF(E$31&gt;$F$29,1,0)</formula>
    </cfRule>
  </conditionalFormatting>
  <conditionalFormatting sqref="H11 H8:H9">
    <cfRule type="expression" dxfId="43" priority="11">
      <formula>IF($F$9=1,1,0)</formula>
    </cfRule>
  </conditionalFormatting>
  <conditionalFormatting sqref="E56:N56">
    <cfRule type="expression" dxfId="42" priority="10">
      <formula>IF(E$55&gt;$F$53,1,0)</formula>
    </cfRule>
  </conditionalFormatting>
  <conditionalFormatting sqref="E32:N32">
    <cfRule type="expression" dxfId="41" priority="9">
      <formula>IF(E$31&gt;$F$29,1,0)</formula>
    </cfRule>
  </conditionalFormatting>
  <conditionalFormatting sqref="E71:N71">
    <cfRule type="expression" dxfId="40" priority="8">
      <formula>IF(E$65&lt;=$F$63,1,0)</formula>
    </cfRule>
  </conditionalFormatting>
  <conditionalFormatting sqref="H10">
    <cfRule type="expression" dxfId="39" priority="7">
      <formula>IF($F$9=1,1,0)</formula>
    </cfRule>
  </conditionalFormatting>
  <conditionalFormatting sqref="E70:N70">
    <cfRule type="expression" dxfId="38" priority="4">
      <formula>IF(E$65&lt;=$F$63,1,0)</formula>
    </cfRule>
  </conditionalFormatting>
  <conditionalFormatting sqref="E70:N70">
    <cfRule type="expression" dxfId="37" priority="3">
      <formula>IF(E$65&gt;$F$63,1,0)</formula>
    </cfRule>
  </conditionalFormatting>
  <conditionalFormatting sqref="E22:E25">
    <cfRule type="expression" dxfId="36" priority="2">
      <formula>IF(E$20&lt;=$F$18,1,0)</formula>
    </cfRule>
  </conditionalFormatting>
  <conditionalFormatting sqref="E21:E25">
    <cfRule type="expression" dxfId="35" priority="1">
      <formula>IF(E$20&gt;$F$18,1,0)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Mindener Stadtwerke GmbH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299">
        <v>2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6">
        <f>INDEX('SLP-Verfahren'!D45:D59,'SLP-Temp-Gebiet #02'!F10)</f>
        <v>0</v>
      </c>
      <c r="G11" s="300"/>
      <c r="H11" s="298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6" t="s">
        <v>584</v>
      </c>
      <c r="D13" s="356"/>
      <c r="E13" s="356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7" t="s">
        <v>445</v>
      </c>
      <c r="D14" s="357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7" t="s">
        <v>385</v>
      </c>
      <c r="D15" s="357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528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1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517</v>
      </c>
      <c r="C17" s="178"/>
      <c r="D17" s="30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525</v>
      </c>
      <c r="D21" s="154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537</v>
      </c>
      <c r="D22" s="187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7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520</v>
      </c>
      <c r="D24" s="189"/>
      <c r="E24" s="157" t="s">
        <v>581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526</v>
      </c>
      <c r="D31" s="187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605</v>
      </c>
      <c r="D35" s="154" t="s">
        <v>606</v>
      </c>
      <c r="E35" s="157" t="s">
        <v>604</v>
      </c>
      <c r="F35" s="157" t="s">
        <v>604</v>
      </c>
      <c r="G35" s="157" t="s">
        <v>604</v>
      </c>
      <c r="H35" s="157" t="s">
        <v>604</v>
      </c>
      <c r="I35" s="157" t="s">
        <v>604</v>
      </c>
      <c r="J35" s="157" t="s">
        <v>604</v>
      </c>
      <c r="K35" s="157" t="s">
        <v>604</v>
      </c>
      <c r="L35" s="157" t="s">
        <v>604</v>
      </c>
      <c r="M35" s="157" t="s">
        <v>604</v>
      </c>
      <c r="N35" s="157" t="s">
        <v>604</v>
      </c>
      <c r="O35" s="186" t="s">
        <v>142</v>
      </c>
      <c r="Q35" s="212"/>
      <c r="R35" s="68" t="s">
        <v>604</v>
      </c>
      <c r="S35" s="68" t="s">
        <v>607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538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536</v>
      </c>
      <c r="D46" s="202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518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525</v>
      </c>
      <c r="D55" s="154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537</v>
      </c>
      <c r="D56" s="187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519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526</v>
      </c>
      <c r="D65" s="187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6"/>
    </row>
    <row r="66" spans="2:15">
      <c r="B66" s="184"/>
      <c r="C66" s="185" t="s">
        <v>533</v>
      </c>
      <c r="D66" s="187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605</v>
      </c>
      <c r="D69" s="154" t="s">
        <v>606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538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8" t="s">
        <v>580</v>
      </c>
      <c r="D72" s="358"/>
      <c r="E72" s="358"/>
      <c r="F72" s="35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Mindener Stadtwerke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Mindener Stadtwerke GmbH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9870120800007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44562</v>
      </c>
      <c r="E8" s="131"/>
      <c r="F8" s="131"/>
      <c r="H8" s="129" t="s">
        <v>493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635</v>
      </c>
      <c r="M10" s="151" t="s">
        <v>644</v>
      </c>
      <c r="N10" s="152" t="s">
        <v>645</v>
      </c>
      <c r="O10" s="152" t="s">
        <v>646</v>
      </c>
      <c r="P10" s="153" t="s">
        <v>647</v>
      </c>
      <c r="Q10" s="147" t="s">
        <v>636</v>
      </c>
      <c r="R10" s="137" t="s">
        <v>637</v>
      </c>
      <c r="S10" s="138" t="s">
        <v>638</v>
      </c>
      <c r="T10" s="138" t="s">
        <v>639</v>
      </c>
      <c r="U10" s="138" t="s">
        <v>640</v>
      </c>
      <c r="V10" s="138" t="s">
        <v>641</v>
      </c>
      <c r="W10" s="138" t="s">
        <v>642</v>
      </c>
      <c r="X10" s="139" t="s">
        <v>643</v>
      </c>
      <c r="Y10" s="305" t="s">
        <v>648</v>
      </c>
    </row>
    <row r="11" spans="2:26" ht="15.75" thickBot="1">
      <c r="B11" s="140" t="s">
        <v>494</v>
      </c>
      <c r="C11" s="141" t="s">
        <v>509</v>
      </c>
      <c r="D11" s="304" t="s">
        <v>248</v>
      </c>
      <c r="E11" s="165" t="s">
        <v>516</v>
      </c>
      <c r="F11" s="306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2">
        <v>365.12299999999999</v>
      </c>
    </row>
    <row r="12" spans="2:26">
      <c r="B12" s="142">
        <v>1</v>
      </c>
      <c r="C12" s="143" t="str">
        <f t="shared" ref="C12:C41" si="0">$D$6</f>
        <v>Mindener Stadtwerke GmbH</v>
      </c>
      <c r="D12" s="63" t="s">
        <v>248</v>
      </c>
      <c r="E12" s="166" t="s">
        <v>25</v>
      </c>
      <c r="F12" s="307" t="str">
        <f>VLOOKUP($E12,'[1]BDEW-Standard'!$B$3:$M$158,F$9,0)</f>
        <v>N14</v>
      </c>
      <c r="G12" s="8"/>
      <c r="H12" s="279">
        <f>ROUND(VLOOKUP($E12,'[1]BDEW-Standard'!$B$3:$M$158,H$9,0),7)</f>
        <v>3.1935978</v>
      </c>
      <c r="I12" s="279">
        <f>ROUND(VLOOKUP($E12,'[1]BDEW-Standard'!$B$3:$M$158,I$9,0),7)</f>
        <v>-37.414247799999998</v>
      </c>
      <c r="J12" s="279">
        <f>ROUND(VLOOKUP($E12,'[1]BDEW-Standard'!$B$3:$M$158,J$9,0),7)</f>
        <v>6.1824021</v>
      </c>
      <c r="K12" s="279">
        <f>ROUND(VLOOKUP($E12,'[1]BDEW-Standard'!$B$3:$M$158,K$9,0),7)</f>
        <v>6.4760499999999999E-2</v>
      </c>
      <c r="L12" s="352">
        <f>ROUND(VLOOKUP($E12,'[1]BDEW-Standard'!$B$3:$M$158,L$9,0),1)</f>
        <v>40</v>
      </c>
      <c r="M12" s="279">
        <f>ROUND(VLOOKUP($E12,'[1]BDEW-Standard'!$B$3:$M$158,M$9,0),7)</f>
        <v>0</v>
      </c>
      <c r="N12" s="279">
        <f>ROUND(VLOOKUP($E12,'[1]BDEW-Standard'!$B$3:$M$158,N$9,0),7)</f>
        <v>0</v>
      </c>
      <c r="O12" s="279">
        <f>ROUND(VLOOKUP($E12,'[1]BDEW-Standard'!$B$3:$M$158,O$9,0),7)</f>
        <v>0</v>
      </c>
      <c r="P12" s="279">
        <f>ROUND(VLOOKUP($E12,'[1]BDEW-Standard'!$B$3:$M$158,P$9,0),7)</f>
        <v>0</v>
      </c>
      <c r="Q12" s="353">
        <f t="shared" ref="Q12:Q26" si="1">($H12/(1+($I12/($Q$9-$L12))^$J12)+$K12)+MAX($M12*$Q$9+$N12,$O12*$Q$9+$P12)</f>
        <v>0.94490761186795624</v>
      </c>
      <c r="R12" s="281">
        <f>ROUND(VLOOKUP(MID($E12,4,3),'[1]Wochentag F(WT)'!$B$7:$J$22,R$9,0),4)</f>
        <v>1</v>
      </c>
      <c r="S12" s="281">
        <f>ROUND(VLOOKUP(MID($E12,4,3),'[1]Wochentag F(WT)'!$B$7:$J$22,S$9,0),4)</f>
        <v>1</v>
      </c>
      <c r="T12" s="281">
        <f>ROUND(VLOOKUP(MID($E12,4,3),'[1]Wochentag F(WT)'!$B$7:$J$22,T$9,0),4)</f>
        <v>1</v>
      </c>
      <c r="U12" s="281">
        <f>ROUND(VLOOKUP(MID($E12,4,3),'[1]Wochentag F(WT)'!$B$7:$J$22,U$9,0),4)</f>
        <v>1</v>
      </c>
      <c r="V12" s="281">
        <f>ROUND(VLOOKUP(MID($E12,4,3),'[1]Wochentag F(WT)'!$B$7:$J$22,V$9,0),4)</f>
        <v>1</v>
      </c>
      <c r="W12" s="281">
        <f>ROUND(VLOOKUP(MID($E12,4,3),'[1]Wochentag F(WT)'!$B$7:$J$22,W$9,0),4)</f>
        <v>1</v>
      </c>
      <c r="X12" s="282">
        <f>7-SUM(R12:W12)</f>
        <v>1</v>
      </c>
      <c r="Y12" s="303"/>
      <c r="Z12" s="213"/>
    </row>
    <row r="13" spans="2:26" s="144" customFormat="1">
      <c r="B13" s="145">
        <v>2</v>
      </c>
      <c r="C13" s="146" t="str">
        <f t="shared" si="0"/>
        <v>Mindener Stadtwerke GmbH</v>
      </c>
      <c r="D13" s="63" t="s">
        <v>248</v>
      </c>
      <c r="E13" s="166" t="s">
        <v>33</v>
      </c>
      <c r="F13" s="307" t="str">
        <f>VLOOKUP($E13,'[1]BDEW-Standard'!$B$3:$M$158,F$9,0)</f>
        <v>N24</v>
      </c>
      <c r="H13" s="279">
        <f>ROUND(VLOOKUP($E13,'[1]BDEW-Standard'!$B$3:$M$158,H$9,0),7)</f>
        <v>2.529738</v>
      </c>
      <c r="I13" s="279">
        <f>ROUND(VLOOKUP($E13,'[1]BDEW-Standard'!$B$3:$M$158,I$9,0),7)</f>
        <v>-35.0300145</v>
      </c>
      <c r="J13" s="279">
        <f>ROUND(VLOOKUP($E13,'[1]BDEW-Standard'!$B$3:$M$158,J$9,0),7)</f>
        <v>6.2051109000000002</v>
      </c>
      <c r="K13" s="279">
        <f>ROUND(VLOOKUP($E13,'[1]BDEW-Standard'!$B$3:$M$158,K$9,0),7)</f>
        <v>8.4524100000000005E-2</v>
      </c>
      <c r="L13" s="352">
        <f>ROUND(VLOOKUP($E13,'[1]BDEW-Standard'!$B$3:$M$158,L$9,0),1)</f>
        <v>40</v>
      </c>
      <c r="M13" s="279">
        <f>ROUND(VLOOKUP($E13,'[1]BDEW-Standard'!$B$3:$M$158,M$9,0),7)</f>
        <v>0</v>
      </c>
      <c r="N13" s="279">
        <f>ROUND(VLOOKUP($E13,'[1]BDEW-Standard'!$B$3:$M$158,N$9,0),7)</f>
        <v>0</v>
      </c>
      <c r="O13" s="279">
        <f>ROUND(VLOOKUP($E13,'[1]BDEW-Standard'!$B$3:$M$158,O$9,0),7)</f>
        <v>0</v>
      </c>
      <c r="P13" s="279">
        <f>ROUND(VLOOKUP($E13,'[1]BDEW-Standard'!$B$3:$M$158,P$9,0),7)</f>
        <v>0</v>
      </c>
      <c r="Q13" s="353">
        <f t="shared" si="1"/>
        <v>1.0034007991768874</v>
      </c>
      <c r="R13" s="281">
        <f>ROUND(VLOOKUP(MID($E13,4,3),'[1]Wochentag F(WT)'!$B$7:$J$22,R$9,0),4)</f>
        <v>1</v>
      </c>
      <c r="S13" s="281">
        <f>ROUND(VLOOKUP(MID($E13,4,3),'[1]Wochentag F(WT)'!$B$7:$J$22,S$9,0),4)</f>
        <v>1</v>
      </c>
      <c r="T13" s="281">
        <f>ROUND(VLOOKUP(MID($E13,4,3),'[1]Wochentag F(WT)'!$B$7:$J$22,T$9,0),4)</f>
        <v>1</v>
      </c>
      <c r="U13" s="281">
        <f>ROUND(VLOOKUP(MID($E13,4,3),'[1]Wochentag F(WT)'!$B$7:$J$22,U$9,0),4)</f>
        <v>1</v>
      </c>
      <c r="V13" s="281">
        <f>ROUND(VLOOKUP(MID($E13,4,3),'[1]Wochentag F(WT)'!$B$7:$J$22,V$9,0),4)</f>
        <v>1</v>
      </c>
      <c r="W13" s="281">
        <f>ROUND(VLOOKUP(MID($E13,4,3),'[1]Wochentag F(WT)'!$B$7:$J$22,W$9,0),4)</f>
        <v>1</v>
      </c>
      <c r="X13" s="282">
        <f t="shared" ref="X13:X26" si="2">7-SUM(R13:W13)</f>
        <v>1</v>
      </c>
      <c r="Y13" s="303"/>
      <c r="Z13" s="213"/>
    </row>
    <row r="14" spans="2:26" s="144" customFormat="1">
      <c r="B14" s="145">
        <v>3</v>
      </c>
      <c r="C14" s="146" t="str">
        <f t="shared" si="0"/>
        <v>Mindener Stadtwerke GmbH</v>
      </c>
      <c r="D14" s="63" t="s">
        <v>248</v>
      </c>
      <c r="E14" s="166" t="s">
        <v>665</v>
      </c>
      <c r="F14" s="307" t="str">
        <f>VLOOKUP($E14,'[1]BDEW-Standard'!$B$3:$M$158,F$9,0)</f>
        <v>BA4</v>
      </c>
      <c r="H14" s="279">
        <f>ROUND(VLOOKUP($E14,'[1]BDEW-Standard'!$B$3:$M$158,H$9,0),7)</f>
        <v>0.93158890000000005</v>
      </c>
      <c r="I14" s="279">
        <f>ROUND(VLOOKUP($E14,'[1]BDEW-Standard'!$B$3:$M$158,I$9,0),7)</f>
        <v>-33.35</v>
      </c>
      <c r="J14" s="279">
        <f>ROUND(VLOOKUP($E14,'[1]BDEW-Standard'!$B$3:$M$158,J$9,0),7)</f>
        <v>5.7212303000000002</v>
      </c>
      <c r="K14" s="279">
        <f>ROUND(VLOOKUP($E14,'[1]BDEW-Standard'!$B$3:$M$158,K$9,0),7)</f>
        <v>0.66564939999999995</v>
      </c>
      <c r="L14" s="352">
        <f>ROUND(VLOOKUP($E14,'[1]BDEW-Standard'!$B$3:$M$158,L$9,0),1)</f>
        <v>40</v>
      </c>
      <c r="M14" s="279">
        <f>ROUND(VLOOKUP($E14,'[1]BDEW-Standard'!$B$3:$M$158,M$9,0),7)</f>
        <v>0</v>
      </c>
      <c r="N14" s="279">
        <f>ROUND(VLOOKUP($E14,'[1]BDEW-Standard'!$B$3:$M$158,N$9,0),7)</f>
        <v>0</v>
      </c>
      <c r="O14" s="279">
        <f>ROUND(VLOOKUP($E14,'[1]BDEW-Standard'!$B$3:$M$158,O$9,0),7)</f>
        <v>0</v>
      </c>
      <c r="P14" s="279">
        <f>ROUND(VLOOKUP($E14,'[1]BDEW-Standard'!$B$3:$M$158,P$9,0),7)</f>
        <v>0</v>
      </c>
      <c r="Q14" s="353">
        <f t="shared" si="1"/>
        <v>1.0766391850538448</v>
      </c>
      <c r="R14" s="281">
        <f>ROUND(VLOOKUP(MID($E14,4,3),'[1]Wochentag F(WT)'!$B$7:$J$22,R$9,0),4)</f>
        <v>1.0848</v>
      </c>
      <c r="S14" s="281">
        <f>ROUND(VLOOKUP(MID($E14,4,3),'[1]Wochentag F(WT)'!$B$7:$J$22,S$9,0),4)</f>
        <v>1.1211</v>
      </c>
      <c r="T14" s="281">
        <f>ROUND(VLOOKUP(MID($E14,4,3),'[1]Wochentag F(WT)'!$B$7:$J$22,T$9,0),4)</f>
        <v>1.0769</v>
      </c>
      <c r="U14" s="281">
        <f>ROUND(VLOOKUP(MID($E14,4,3),'[1]Wochentag F(WT)'!$B$7:$J$22,U$9,0),4)</f>
        <v>1.1353</v>
      </c>
      <c r="V14" s="281">
        <f>ROUND(VLOOKUP(MID($E14,4,3),'[1]Wochentag F(WT)'!$B$7:$J$22,V$9,0),4)</f>
        <v>1.1402000000000001</v>
      </c>
      <c r="W14" s="281">
        <f>ROUND(VLOOKUP(MID($E14,4,3),'[1]Wochentag F(WT)'!$B$7:$J$22,W$9,0),4)</f>
        <v>0.48520000000000002</v>
      </c>
      <c r="X14" s="282">
        <f t="shared" si="2"/>
        <v>0.95650000000000013</v>
      </c>
      <c r="Y14" s="303"/>
      <c r="Z14" s="213"/>
    </row>
    <row r="15" spans="2:26" s="144" customFormat="1">
      <c r="B15" s="145">
        <v>4</v>
      </c>
      <c r="C15" s="146" t="str">
        <f t="shared" si="0"/>
        <v>Mindener Stadtwerke GmbH</v>
      </c>
      <c r="D15" s="63" t="s">
        <v>248</v>
      </c>
      <c r="E15" s="166" t="s">
        <v>666</v>
      </c>
      <c r="F15" s="307" t="str">
        <f>VLOOKUP($E15,'[1]BDEW-Standard'!$B$3:$M$158,F$9,0)</f>
        <v>BD4</v>
      </c>
      <c r="H15" s="279">
        <f>ROUND(VLOOKUP($E15,'[1]BDEW-Standard'!$B$3:$M$158,H$9,0),7)</f>
        <v>3.75</v>
      </c>
      <c r="I15" s="279">
        <f>ROUND(VLOOKUP($E15,'[1]BDEW-Standard'!$B$3:$M$158,I$9,0),7)</f>
        <v>-37.5</v>
      </c>
      <c r="J15" s="279">
        <f>ROUND(VLOOKUP($E15,'[1]BDEW-Standard'!$B$3:$M$158,J$9,0),7)</f>
        <v>6.8</v>
      </c>
      <c r="K15" s="279">
        <f>ROUND(VLOOKUP($E15,'[1]BDEW-Standard'!$B$3:$M$158,K$9,0),7)</f>
        <v>6.0911300000000002E-2</v>
      </c>
      <c r="L15" s="352">
        <f>ROUND(VLOOKUP($E15,'[1]BDEW-Standard'!$B$3:$M$158,L$9,0),1)</f>
        <v>40</v>
      </c>
      <c r="M15" s="279">
        <f>ROUND(VLOOKUP($E15,'[1]BDEW-Standard'!$B$3:$M$158,M$9,0),7)</f>
        <v>0</v>
      </c>
      <c r="N15" s="279">
        <f>ROUND(VLOOKUP($E15,'[1]BDEW-Standard'!$B$3:$M$158,N$9,0),7)</f>
        <v>0</v>
      </c>
      <c r="O15" s="279">
        <f>ROUND(VLOOKUP($E15,'[1]BDEW-Standard'!$B$3:$M$158,O$9,0),7)</f>
        <v>0</v>
      </c>
      <c r="P15" s="279">
        <f>ROUND(VLOOKUP($E15,'[1]BDEW-Standard'!$B$3:$M$158,P$9,0),7)</f>
        <v>0</v>
      </c>
      <c r="Q15" s="353">
        <f t="shared" si="1"/>
        <v>1.0126136468627658</v>
      </c>
      <c r="R15" s="281">
        <f>ROUND(VLOOKUP(MID($E15,4,3),'[1]Wochentag F(WT)'!$B$7:$J$22,R$9,0),4)</f>
        <v>1.1052</v>
      </c>
      <c r="S15" s="281">
        <f>ROUND(VLOOKUP(MID($E15,4,3),'[1]Wochentag F(WT)'!$B$7:$J$22,S$9,0),4)</f>
        <v>1.0857000000000001</v>
      </c>
      <c r="T15" s="281">
        <f>ROUND(VLOOKUP(MID($E15,4,3),'[1]Wochentag F(WT)'!$B$7:$J$22,T$9,0),4)</f>
        <v>1.0378000000000001</v>
      </c>
      <c r="U15" s="281">
        <f>ROUND(VLOOKUP(MID($E15,4,3),'[1]Wochentag F(WT)'!$B$7:$J$22,U$9,0),4)</f>
        <v>1.0622</v>
      </c>
      <c r="V15" s="281">
        <f>ROUND(VLOOKUP(MID($E15,4,3),'[1]Wochentag F(WT)'!$B$7:$J$22,V$9,0),4)</f>
        <v>1.0266</v>
      </c>
      <c r="W15" s="281">
        <f>ROUND(VLOOKUP(MID($E15,4,3),'[1]Wochentag F(WT)'!$B$7:$J$22,W$9,0),4)</f>
        <v>0.76290000000000002</v>
      </c>
      <c r="X15" s="282">
        <f t="shared" si="2"/>
        <v>0.91959999999999997</v>
      </c>
      <c r="Y15" s="303"/>
      <c r="Z15" s="213"/>
    </row>
    <row r="16" spans="2:26" s="144" customFormat="1">
      <c r="B16" s="145">
        <v>5</v>
      </c>
      <c r="C16" s="146" t="str">
        <f t="shared" si="0"/>
        <v>Mindener Stadtwerke GmbH</v>
      </c>
      <c r="D16" s="63" t="s">
        <v>248</v>
      </c>
      <c r="E16" s="166" t="s">
        <v>667</v>
      </c>
      <c r="F16" s="307" t="str">
        <f>VLOOKUP($E16,'[1]BDEW-Standard'!$B$3:$M$158,F$9,0)</f>
        <v>BH4</v>
      </c>
      <c r="H16" s="279">
        <f>ROUND(VLOOKUP($E16,'[1]BDEW-Standard'!$B$3:$M$158,H$9,0),7)</f>
        <v>2.4595180999999999</v>
      </c>
      <c r="I16" s="279">
        <f>ROUND(VLOOKUP($E16,'[1]BDEW-Standard'!$B$3:$M$158,I$9,0),7)</f>
        <v>-35.253212400000002</v>
      </c>
      <c r="J16" s="279">
        <f>ROUND(VLOOKUP($E16,'[1]BDEW-Standard'!$B$3:$M$158,J$9,0),7)</f>
        <v>6.0587001000000003</v>
      </c>
      <c r="K16" s="279">
        <f>ROUND(VLOOKUP($E16,'[1]BDEW-Standard'!$B$3:$M$158,K$9,0),7)</f>
        <v>0.16473699999999999</v>
      </c>
      <c r="L16" s="352">
        <f>ROUND(VLOOKUP($E16,'[1]BDEW-Standard'!$B$3:$M$158,L$9,0),1)</f>
        <v>40</v>
      </c>
      <c r="M16" s="279">
        <f>ROUND(VLOOKUP($E16,'[1]BDEW-Standard'!$B$3:$M$158,M$9,0),7)</f>
        <v>0</v>
      </c>
      <c r="N16" s="279">
        <f>ROUND(VLOOKUP($E16,'[1]BDEW-Standard'!$B$3:$M$158,N$9,0),7)</f>
        <v>0</v>
      </c>
      <c r="O16" s="279">
        <f>ROUND(VLOOKUP($E16,'[1]BDEW-Standard'!$B$3:$M$158,O$9,0),7)</f>
        <v>0</v>
      </c>
      <c r="P16" s="279">
        <f>ROUND(VLOOKUP($E16,'[1]BDEW-Standard'!$B$3:$M$158,P$9,0),7)</f>
        <v>0</v>
      </c>
      <c r="Q16" s="353">
        <f t="shared" si="1"/>
        <v>1.043802057143173</v>
      </c>
      <c r="R16" s="281">
        <f>ROUND(VLOOKUP(MID($E16,4,3),'[1]Wochentag F(WT)'!$B$7:$J$22,R$9,0),4)</f>
        <v>0.97670000000000001</v>
      </c>
      <c r="S16" s="281">
        <f>ROUND(VLOOKUP(MID($E16,4,3),'[1]Wochentag F(WT)'!$B$7:$J$22,S$9,0),4)</f>
        <v>1.0388999999999999</v>
      </c>
      <c r="T16" s="281">
        <f>ROUND(VLOOKUP(MID($E16,4,3),'[1]Wochentag F(WT)'!$B$7:$J$22,T$9,0),4)</f>
        <v>1.0027999999999999</v>
      </c>
      <c r="U16" s="281">
        <f>ROUND(VLOOKUP(MID($E16,4,3),'[1]Wochentag F(WT)'!$B$7:$J$22,U$9,0),4)</f>
        <v>1.0162</v>
      </c>
      <c r="V16" s="281">
        <f>ROUND(VLOOKUP(MID($E16,4,3),'[1]Wochentag F(WT)'!$B$7:$J$22,V$9,0),4)</f>
        <v>1.0024</v>
      </c>
      <c r="W16" s="281">
        <f>ROUND(VLOOKUP(MID($E16,4,3),'[1]Wochentag F(WT)'!$B$7:$J$22,W$9,0),4)</f>
        <v>1.0043</v>
      </c>
      <c r="X16" s="282">
        <f t="shared" si="2"/>
        <v>0.95870000000000122</v>
      </c>
      <c r="Y16" s="303"/>
      <c r="Z16" s="213"/>
    </row>
    <row r="17" spans="2:26" s="144" customFormat="1">
      <c r="B17" s="145">
        <v>6</v>
      </c>
      <c r="C17" s="146" t="str">
        <f t="shared" si="0"/>
        <v>Mindener Stadtwerke GmbH</v>
      </c>
      <c r="D17" s="63" t="s">
        <v>248</v>
      </c>
      <c r="E17" s="166" t="s">
        <v>668</v>
      </c>
      <c r="F17" s="307" t="str">
        <f>VLOOKUP($E17,'[1]BDEW-Standard'!$B$3:$M$158,F$9,0)</f>
        <v>GA4</v>
      </c>
      <c r="H17" s="279">
        <f>ROUND(VLOOKUP($E17,'[1]BDEW-Standard'!$B$3:$M$158,H$9,0),7)</f>
        <v>2.8195655999999998</v>
      </c>
      <c r="I17" s="279">
        <f>ROUND(VLOOKUP($E17,'[1]BDEW-Standard'!$B$3:$M$158,I$9,0),7)</f>
        <v>-36</v>
      </c>
      <c r="J17" s="279">
        <f>ROUND(VLOOKUP($E17,'[1]BDEW-Standard'!$B$3:$M$158,J$9,0),7)</f>
        <v>7.7368518000000002</v>
      </c>
      <c r="K17" s="279">
        <f>ROUND(VLOOKUP($E17,'[1]BDEW-Standard'!$B$3:$M$158,K$9,0),7)</f>
        <v>0.157281</v>
      </c>
      <c r="L17" s="352">
        <f>ROUND(VLOOKUP($E17,'[1]BDEW-Standard'!$B$3:$M$158,L$9,0),1)</f>
        <v>40</v>
      </c>
      <c r="M17" s="279">
        <f>ROUND(VLOOKUP($E17,'[1]BDEW-Standard'!$B$3:$M$158,M$9,0),7)</f>
        <v>0</v>
      </c>
      <c r="N17" s="279">
        <f>ROUND(VLOOKUP($E17,'[1]BDEW-Standard'!$B$3:$M$158,N$9,0),7)</f>
        <v>0</v>
      </c>
      <c r="O17" s="279">
        <f>ROUND(VLOOKUP($E17,'[1]BDEW-Standard'!$B$3:$M$158,O$9,0),7)</f>
        <v>0</v>
      </c>
      <c r="P17" s="279">
        <f>ROUND(VLOOKUP($E17,'[1]BDEW-Standard'!$B$3:$M$158,P$9,0),7)</f>
        <v>0</v>
      </c>
      <c r="Q17" s="353">
        <f t="shared" si="1"/>
        <v>0.96576337685759206</v>
      </c>
      <c r="R17" s="281">
        <f>ROUND(VLOOKUP(MID($E17,4,3),'[1]Wochentag F(WT)'!$B$7:$J$22,R$9,0),4)</f>
        <v>0.93220000000000003</v>
      </c>
      <c r="S17" s="281">
        <f>ROUND(VLOOKUP(MID($E17,4,3),'[1]Wochentag F(WT)'!$B$7:$J$22,S$9,0),4)</f>
        <v>0.98939999999999995</v>
      </c>
      <c r="T17" s="281">
        <f>ROUND(VLOOKUP(MID($E17,4,3),'[1]Wochentag F(WT)'!$B$7:$J$22,T$9,0),4)</f>
        <v>1.0033000000000001</v>
      </c>
      <c r="U17" s="281">
        <f>ROUND(VLOOKUP(MID($E17,4,3),'[1]Wochentag F(WT)'!$B$7:$J$22,U$9,0),4)</f>
        <v>1.0108999999999999</v>
      </c>
      <c r="V17" s="281">
        <f>ROUND(VLOOKUP(MID($E17,4,3),'[1]Wochentag F(WT)'!$B$7:$J$22,V$9,0),4)</f>
        <v>1.018</v>
      </c>
      <c r="W17" s="281">
        <f>ROUND(VLOOKUP(MID($E17,4,3),'[1]Wochentag F(WT)'!$B$7:$J$22,W$9,0),4)</f>
        <v>1.0356000000000001</v>
      </c>
      <c r="X17" s="282">
        <f t="shared" si="2"/>
        <v>1.0106000000000002</v>
      </c>
      <c r="Y17" s="303"/>
      <c r="Z17" s="213"/>
    </row>
    <row r="18" spans="2:26" s="144" customFormat="1">
      <c r="B18" s="145">
        <v>7</v>
      </c>
      <c r="C18" s="146" t="str">
        <f t="shared" si="0"/>
        <v>Mindener Stadtwerke GmbH</v>
      </c>
      <c r="D18" s="63" t="s">
        <v>248</v>
      </c>
      <c r="E18" s="166" t="s">
        <v>669</v>
      </c>
      <c r="F18" s="307" t="str">
        <f>VLOOKUP($E18,'[1]BDEW-Standard'!$B$3:$M$158,F$9,0)</f>
        <v>GB4</v>
      </c>
      <c r="H18" s="279">
        <f>ROUND(VLOOKUP($E18,'[1]BDEW-Standard'!$B$3:$M$158,H$9,0),7)</f>
        <v>3.6017736</v>
      </c>
      <c r="I18" s="279">
        <f>ROUND(VLOOKUP($E18,'[1]BDEW-Standard'!$B$3:$M$158,I$9,0),7)</f>
        <v>-37.882536799999997</v>
      </c>
      <c r="J18" s="279">
        <f>ROUND(VLOOKUP($E18,'[1]BDEW-Standard'!$B$3:$M$158,J$9,0),7)</f>
        <v>6.9836070000000001</v>
      </c>
      <c r="K18" s="279">
        <f>ROUND(VLOOKUP($E18,'[1]BDEW-Standard'!$B$3:$M$158,K$9,0),7)</f>
        <v>5.4826199999999999E-2</v>
      </c>
      <c r="L18" s="352">
        <f>ROUND(VLOOKUP($E18,'[1]BDEW-Standard'!$B$3:$M$158,L$9,0),1)</f>
        <v>40</v>
      </c>
      <c r="M18" s="279">
        <f>ROUND(VLOOKUP($E18,'[1]BDEW-Standard'!$B$3:$M$158,M$9,0),7)</f>
        <v>0</v>
      </c>
      <c r="N18" s="279">
        <f>ROUND(VLOOKUP($E18,'[1]BDEW-Standard'!$B$3:$M$158,N$9,0),7)</f>
        <v>0</v>
      </c>
      <c r="O18" s="279">
        <f>ROUND(VLOOKUP($E18,'[1]BDEW-Standard'!$B$3:$M$158,O$9,0),7)</f>
        <v>0</v>
      </c>
      <c r="P18" s="279">
        <f>ROUND(VLOOKUP($E18,'[1]BDEW-Standard'!$B$3:$M$158,P$9,0),7)</f>
        <v>0</v>
      </c>
      <c r="Q18" s="353">
        <f t="shared" si="1"/>
        <v>0.90239375975311864</v>
      </c>
      <c r="R18" s="281">
        <f>ROUND(VLOOKUP(MID($E18,4,3),'[1]Wochentag F(WT)'!$B$7:$J$22,R$9,0),4)</f>
        <v>0.98970000000000002</v>
      </c>
      <c r="S18" s="281">
        <f>ROUND(VLOOKUP(MID($E18,4,3),'[1]Wochentag F(WT)'!$B$7:$J$22,S$9,0),4)</f>
        <v>0.9627</v>
      </c>
      <c r="T18" s="281">
        <f>ROUND(VLOOKUP(MID($E18,4,3),'[1]Wochentag F(WT)'!$B$7:$J$22,T$9,0),4)</f>
        <v>1.0507</v>
      </c>
      <c r="U18" s="281">
        <f>ROUND(VLOOKUP(MID($E18,4,3),'[1]Wochentag F(WT)'!$B$7:$J$22,U$9,0),4)</f>
        <v>1.0551999999999999</v>
      </c>
      <c r="V18" s="281">
        <f>ROUND(VLOOKUP(MID($E18,4,3),'[1]Wochentag F(WT)'!$B$7:$J$22,V$9,0),4)</f>
        <v>1.0297000000000001</v>
      </c>
      <c r="W18" s="281">
        <f>ROUND(VLOOKUP(MID($E18,4,3),'[1]Wochentag F(WT)'!$B$7:$J$22,W$9,0),4)</f>
        <v>0.97670000000000001</v>
      </c>
      <c r="X18" s="282">
        <f t="shared" si="2"/>
        <v>0.9352999999999998</v>
      </c>
      <c r="Y18" s="303"/>
      <c r="Z18" s="213"/>
    </row>
    <row r="19" spans="2:26" s="144" customFormat="1">
      <c r="B19" s="145">
        <v>8</v>
      </c>
      <c r="C19" s="146" t="str">
        <f t="shared" si="0"/>
        <v>Mindener Stadtwerke GmbH</v>
      </c>
      <c r="D19" s="63" t="s">
        <v>248</v>
      </c>
      <c r="E19" s="166" t="s">
        <v>670</v>
      </c>
      <c r="F19" s="307" t="str">
        <f>VLOOKUP($E19,'[1]BDEW-Standard'!$B$3:$M$158,F$9,0)</f>
        <v>HA4</v>
      </c>
      <c r="H19" s="279">
        <f>ROUND(VLOOKUP($E19,'[1]BDEW-Standard'!$B$3:$M$158,H$9,0),7)</f>
        <v>4.0196902000000003</v>
      </c>
      <c r="I19" s="279">
        <f>ROUND(VLOOKUP($E19,'[1]BDEW-Standard'!$B$3:$M$158,I$9,0),7)</f>
        <v>-37.828203700000003</v>
      </c>
      <c r="J19" s="279">
        <f>ROUND(VLOOKUP($E19,'[1]BDEW-Standard'!$B$3:$M$158,J$9,0),7)</f>
        <v>8.1593368999999996</v>
      </c>
      <c r="K19" s="279">
        <f>ROUND(VLOOKUP($E19,'[1]BDEW-Standard'!$B$3:$M$158,K$9,0),7)</f>
        <v>4.72845E-2</v>
      </c>
      <c r="L19" s="352">
        <f>ROUND(VLOOKUP($E19,'[1]BDEW-Standard'!$B$3:$M$158,L$9,0),1)</f>
        <v>40</v>
      </c>
      <c r="M19" s="279">
        <f>ROUND(VLOOKUP($E19,'[1]BDEW-Standard'!$B$3:$M$158,M$9,0),7)</f>
        <v>0</v>
      </c>
      <c r="N19" s="279">
        <f>ROUND(VLOOKUP($E19,'[1]BDEW-Standard'!$B$3:$M$158,N$9,0),7)</f>
        <v>0</v>
      </c>
      <c r="O19" s="279">
        <f>ROUND(VLOOKUP($E19,'[1]BDEW-Standard'!$B$3:$M$158,O$9,0),7)</f>
        <v>0</v>
      </c>
      <c r="P19" s="279">
        <f>ROUND(VLOOKUP($E19,'[1]BDEW-Standard'!$B$3:$M$158,P$9,0),7)</f>
        <v>0</v>
      </c>
      <c r="Q19" s="353">
        <f t="shared" si="1"/>
        <v>0.86486713303260787</v>
      </c>
      <c r="R19" s="281">
        <f>ROUND(VLOOKUP(MID($E19,4,3),'[1]Wochentag F(WT)'!$B$7:$J$22,R$9,0),4)</f>
        <v>1.0358000000000001</v>
      </c>
      <c r="S19" s="281">
        <f>ROUND(VLOOKUP(MID($E19,4,3),'[1]Wochentag F(WT)'!$B$7:$J$22,S$9,0),4)</f>
        <v>1.0232000000000001</v>
      </c>
      <c r="T19" s="281">
        <f>ROUND(VLOOKUP(MID($E19,4,3),'[1]Wochentag F(WT)'!$B$7:$J$22,T$9,0),4)</f>
        <v>1.0251999999999999</v>
      </c>
      <c r="U19" s="281">
        <f>ROUND(VLOOKUP(MID($E19,4,3),'[1]Wochentag F(WT)'!$B$7:$J$22,U$9,0),4)</f>
        <v>1.0295000000000001</v>
      </c>
      <c r="V19" s="281">
        <f>ROUND(VLOOKUP(MID($E19,4,3),'[1]Wochentag F(WT)'!$B$7:$J$22,V$9,0),4)</f>
        <v>1.0253000000000001</v>
      </c>
      <c r="W19" s="281">
        <f>ROUND(VLOOKUP(MID($E19,4,3),'[1]Wochentag F(WT)'!$B$7:$J$22,W$9,0),4)</f>
        <v>0.96750000000000003</v>
      </c>
      <c r="X19" s="282">
        <f t="shared" si="2"/>
        <v>0.89350000000000041</v>
      </c>
      <c r="Y19" s="303"/>
      <c r="Z19" s="213"/>
    </row>
    <row r="20" spans="2:26" s="144" customFormat="1">
      <c r="B20" s="145">
        <v>9</v>
      </c>
      <c r="C20" s="146" t="str">
        <f t="shared" si="0"/>
        <v>Mindener Stadtwerke GmbH</v>
      </c>
      <c r="D20" s="63" t="s">
        <v>248</v>
      </c>
      <c r="E20" s="166" t="s">
        <v>671</v>
      </c>
      <c r="F20" s="307" t="str">
        <f>VLOOKUP($E20,'[1]BDEW-Standard'!$B$3:$M$158,F$9,0)</f>
        <v>HD4</v>
      </c>
      <c r="H20" s="279">
        <f>ROUND(VLOOKUP($E20,'[1]BDEW-Standard'!$B$3:$M$158,H$9,0),7)</f>
        <v>3.0084346000000002</v>
      </c>
      <c r="I20" s="279">
        <f>ROUND(VLOOKUP($E20,'[1]BDEW-Standard'!$B$3:$M$158,I$9,0),7)</f>
        <v>-36.607845300000001</v>
      </c>
      <c r="J20" s="279">
        <f>ROUND(VLOOKUP($E20,'[1]BDEW-Standard'!$B$3:$M$158,J$9,0),7)</f>
        <v>7.3211870000000001</v>
      </c>
      <c r="K20" s="279">
        <f>ROUND(VLOOKUP($E20,'[1]BDEW-Standard'!$B$3:$M$158,K$9,0),7)</f>
        <v>0.15496599999999999</v>
      </c>
      <c r="L20" s="352">
        <f>ROUND(VLOOKUP($E20,'[1]BDEW-Standard'!$B$3:$M$158,L$9,0),1)</f>
        <v>40</v>
      </c>
      <c r="M20" s="279">
        <f>ROUND(VLOOKUP($E20,'[1]BDEW-Standard'!$B$3:$M$158,M$9,0),7)</f>
        <v>0</v>
      </c>
      <c r="N20" s="279">
        <f>ROUND(VLOOKUP($E20,'[1]BDEW-Standard'!$B$3:$M$158,N$9,0),7)</f>
        <v>0</v>
      </c>
      <c r="O20" s="279">
        <f>ROUND(VLOOKUP($E20,'[1]BDEW-Standard'!$B$3:$M$158,O$9,0),7)</f>
        <v>0</v>
      </c>
      <c r="P20" s="279">
        <f>ROUND(VLOOKUP($E20,'[1]BDEW-Standard'!$B$3:$M$158,P$9,0),7)</f>
        <v>0</v>
      </c>
      <c r="Q20" s="353">
        <f t="shared" si="1"/>
        <v>0.97302438504000599</v>
      </c>
      <c r="R20" s="281">
        <f>ROUND(VLOOKUP(MID($E20,4,3),'[1]Wochentag F(WT)'!$B$7:$J$22,R$9,0),4)</f>
        <v>1.03</v>
      </c>
      <c r="S20" s="281">
        <f>ROUND(VLOOKUP(MID($E20,4,3),'[1]Wochentag F(WT)'!$B$7:$J$22,S$9,0),4)</f>
        <v>1.03</v>
      </c>
      <c r="T20" s="281">
        <f>ROUND(VLOOKUP(MID($E20,4,3),'[1]Wochentag F(WT)'!$B$7:$J$22,T$9,0),4)</f>
        <v>1.02</v>
      </c>
      <c r="U20" s="281">
        <f>ROUND(VLOOKUP(MID($E20,4,3),'[1]Wochentag F(WT)'!$B$7:$J$22,U$9,0),4)</f>
        <v>1.03</v>
      </c>
      <c r="V20" s="281">
        <f>ROUND(VLOOKUP(MID($E20,4,3),'[1]Wochentag F(WT)'!$B$7:$J$22,V$9,0),4)</f>
        <v>1.01</v>
      </c>
      <c r="W20" s="281">
        <f>ROUND(VLOOKUP(MID($E20,4,3),'[1]Wochentag F(WT)'!$B$7:$J$22,W$9,0),4)</f>
        <v>0.93</v>
      </c>
      <c r="X20" s="282">
        <f t="shared" si="2"/>
        <v>0.95000000000000018</v>
      </c>
      <c r="Y20" s="303"/>
      <c r="Z20" s="213"/>
    </row>
    <row r="21" spans="2:26" s="144" customFormat="1">
      <c r="B21" s="145">
        <v>10</v>
      </c>
      <c r="C21" s="146" t="str">
        <f t="shared" si="0"/>
        <v>Mindener Stadtwerke GmbH</v>
      </c>
      <c r="D21" s="63" t="s">
        <v>248</v>
      </c>
      <c r="E21" s="166" t="s">
        <v>672</v>
      </c>
      <c r="F21" s="307" t="str">
        <f>VLOOKUP($E21,'[1]BDEW-Standard'!$B$3:$M$158,F$9,0)</f>
        <v>MK4</v>
      </c>
      <c r="H21" s="279">
        <f>ROUND(VLOOKUP($E21,'[1]BDEW-Standard'!$B$3:$M$158,H$9,0),7)</f>
        <v>3.1177248</v>
      </c>
      <c r="I21" s="279">
        <f>ROUND(VLOOKUP($E21,'[1]BDEW-Standard'!$B$3:$M$158,I$9,0),7)</f>
        <v>-35.871506199999999</v>
      </c>
      <c r="J21" s="279">
        <f>ROUND(VLOOKUP($E21,'[1]BDEW-Standard'!$B$3:$M$158,J$9,0),7)</f>
        <v>7.5186828999999999</v>
      </c>
      <c r="K21" s="279">
        <f>ROUND(VLOOKUP($E21,'[1]BDEW-Standard'!$B$3:$M$158,K$9,0),7)</f>
        <v>3.4330100000000002E-2</v>
      </c>
      <c r="L21" s="352">
        <f>ROUND(VLOOKUP($E21,'[1]BDEW-Standard'!$B$3:$M$158,L$9,0),1)</f>
        <v>40</v>
      </c>
      <c r="M21" s="279">
        <f>ROUND(VLOOKUP($E21,'[1]BDEW-Standard'!$B$3:$M$158,M$9,0),7)</f>
        <v>0</v>
      </c>
      <c r="N21" s="279">
        <f>ROUND(VLOOKUP($E21,'[1]BDEW-Standard'!$B$3:$M$158,N$9,0),7)</f>
        <v>0</v>
      </c>
      <c r="O21" s="279">
        <f>ROUND(VLOOKUP($E21,'[1]BDEW-Standard'!$B$3:$M$158,O$9,0),7)</f>
        <v>0</v>
      </c>
      <c r="P21" s="279">
        <f>ROUND(VLOOKUP($E21,'[1]BDEW-Standard'!$B$3:$M$158,P$9,0),7)</f>
        <v>0</v>
      </c>
      <c r="Q21" s="353">
        <f t="shared" si="1"/>
        <v>0.9622064996731321</v>
      </c>
      <c r="R21" s="281">
        <f>ROUND(VLOOKUP(MID($E21,4,3),'[1]Wochentag F(WT)'!$B$7:$J$22,R$9,0),4)</f>
        <v>1.0699000000000001</v>
      </c>
      <c r="S21" s="281">
        <f>ROUND(VLOOKUP(MID($E21,4,3),'[1]Wochentag F(WT)'!$B$7:$J$22,S$9,0),4)</f>
        <v>1.0365</v>
      </c>
      <c r="T21" s="281">
        <f>ROUND(VLOOKUP(MID($E21,4,3),'[1]Wochentag F(WT)'!$B$7:$J$22,T$9,0),4)</f>
        <v>0.99329999999999996</v>
      </c>
      <c r="U21" s="281">
        <f>ROUND(VLOOKUP(MID($E21,4,3),'[1]Wochentag F(WT)'!$B$7:$J$22,U$9,0),4)</f>
        <v>0.99480000000000002</v>
      </c>
      <c r="V21" s="281">
        <f>ROUND(VLOOKUP(MID($E21,4,3),'[1]Wochentag F(WT)'!$B$7:$J$22,V$9,0),4)</f>
        <v>1.0659000000000001</v>
      </c>
      <c r="W21" s="281">
        <f>ROUND(VLOOKUP(MID($E21,4,3),'[1]Wochentag F(WT)'!$B$7:$J$22,W$9,0),4)</f>
        <v>0.93620000000000003</v>
      </c>
      <c r="X21" s="282">
        <f t="shared" si="2"/>
        <v>0.90339999999999954</v>
      </c>
      <c r="Y21" s="303"/>
      <c r="Z21" s="213"/>
    </row>
    <row r="22" spans="2:26" s="144" customFormat="1">
      <c r="B22" s="145">
        <v>11</v>
      </c>
      <c r="C22" s="146" t="str">
        <f t="shared" si="0"/>
        <v>Mindener Stadtwerke GmbH</v>
      </c>
      <c r="D22" s="63" t="s">
        <v>248</v>
      </c>
      <c r="E22" s="166" t="s">
        <v>673</v>
      </c>
      <c r="F22" s="307" t="str">
        <f>VLOOKUP($E22,'[1]BDEW-Standard'!$B$3:$M$158,F$9,0)</f>
        <v>MF4</v>
      </c>
      <c r="H22" s="279">
        <f>ROUND(VLOOKUP($E22,'[1]BDEW-Standard'!$B$3:$M$158,H$9,0),7)</f>
        <v>2.5187775000000001</v>
      </c>
      <c r="I22" s="279">
        <f>ROUND(VLOOKUP($E22,'[1]BDEW-Standard'!$B$3:$M$158,I$9,0),7)</f>
        <v>-35.033375399999997</v>
      </c>
      <c r="J22" s="279">
        <f>ROUND(VLOOKUP($E22,'[1]BDEW-Standard'!$B$3:$M$158,J$9,0),7)</f>
        <v>6.2240634000000004</v>
      </c>
      <c r="K22" s="279">
        <f>ROUND(VLOOKUP($E22,'[1]BDEW-Standard'!$B$3:$M$158,K$9,0),7)</f>
        <v>0.10107820000000001</v>
      </c>
      <c r="L22" s="352">
        <f>ROUND(VLOOKUP($E22,'[1]BDEW-Standard'!$B$3:$M$158,L$9,0),1)</f>
        <v>40</v>
      </c>
      <c r="M22" s="279">
        <f>ROUND(VLOOKUP($E22,'[1]BDEW-Standard'!$B$3:$M$158,M$9,0),7)</f>
        <v>0</v>
      </c>
      <c r="N22" s="279">
        <f>ROUND(VLOOKUP($E22,'[1]BDEW-Standard'!$B$3:$M$158,N$9,0),7)</f>
        <v>0</v>
      </c>
      <c r="O22" s="279">
        <f>ROUND(VLOOKUP($E22,'[1]BDEW-Standard'!$B$3:$M$158,O$9,0),7)</f>
        <v>0</v>
      </c>
      <c r="P22" s="279">
        <f>ROUND(VLOOKUP($E22,'[1]BDEW-Standard'!$B$3:$M$158,P$9,0),7)</f>
        <v>0</v>
      </c>
      <c r="Q22" s="353">
        <f t="shared" si="1"/>
        <v>1.0146273685996503</v>
      </c>
      <c r="R22" s="281">
        <f>ROUND(VLOOKUP(MID($E22,4,3),'[1]Wochentag F(WT)'!$B$7:$J$22,R$9,0),4)</f>
        <v>1.0354000000000001</v>
      </c>
      <c r="S22" s="281">
        <f>ROUND(VLOOKUP(MID($E22,4,3),'[1]Wochentag F(WT)'!$B$7:$J$22,S$9,0),4)</f>
        <v>1.0523</v>
      </c>
      <c r="T22" s="281">
        <f>ROUND(VLOOKUP(MID($E22,4,3),'[1]Wochentag F(WT)'!$B$7:$J$22,T$9,0),4)</f>
        <v>1.0448999999999999</v>
      </c>
      <c r="U22" s="281">
        <f>ROUND(VLOOKUP(MID($E22,4,3),'[1]Wochentag F(WT)'!$B$7:$J$22,U$9,0),4)</f>
        <v>1.0494000000000001</v>
      </c>
      <c r="V22" s="281">
        <f>ROUND(VLOOKUP(MID($E22,4,3),'[1]Wochentag F(WT)'!$B$7:$J$22,V$9,0),4)</f>
        <v>0.98850000000000005</v>
      </c>
      <c r="W22" s="281">
        <f>ROUND(VLOOKUP(MID($E22,4,3),'[1]Wochentag F(WT)'!$B$7:$J$22,W$9,0),4)</f>
        <v>0.88600000000000001</v>
      </c>
      <c r="X22" s="282">
        <f t="shared" si="2"/>
        <v>0.94349999999999934</v>
      </c>
      <c r="Y22" s="303"/>
      <c r="Z22" s="213"/>
    </row>
    <row r="23" spans="2:26" s="144" customFormat="1">
      <c r="B23" s="145">
        <v>12</v>
      </c>
      <c r="C23" s="146" t="str">
        <f t="shared" si="0"/>
        <v>Mindener Stadtwerke GmbH</v>
      </c>
      <c r="D23" s="63" t="s">
        <v>248</v>
      </c>
      <c r="E23" s="166" t="s">
        <v>674</v>
      </c>
      <c r="F23" s="307" t="str">
        <f>VLOOKUP($E23,'[1]BDEW-Standard'!$B$3:$M$158,F$9,0)</f>
        <v>PD4</v>
      </c>
      <c r="H23" s="279">
        <f>ROUND(VLOOKUP($E23,'[1]BDEW-Standard'!$B$3:$M$158,H$9,0),7)</f>
        <v>3.85</v>
      </c>
      <c r="I23" s="279">
        <f>ROUND(VLOOKUP($E23,'[1]BDEW-Standard'!$B$3:$M$158,I$9,0),7)</f>
        <v>-37</v>
      </c>
      <c r="J23" s="279">
        <f>ROUND(VLOOKUP($E23,'[1]BDEW-Standard'!$B$3:$M$158,J$9,0),7)</f>
        <v>10.2405021</v>
      </c>
      <c r="K23" s="279">
        <f>ROUND(VLOOKUP($E23,'[1]BDEW-Standard'!$B$3:$M$158,K$9,0),7)</f>
        <v>4.6924300000000002E-2</v>
      </c>
      <c r="L23" s="352">
        <f>ROUND(VLOOKUP($E23,'[1]BDEW-Standard'!$B$3:$M$158,L$9,0),1)</f>
        <v>40</v>
      </c>
      <c r="M23" s="279">
        <f>ROUND(VLOOKUP($E23,'[1]BDEW-Standard'!$B$3:$M$158,M$9,0),7)</f>
        <v>0</v>
      </c>
      <c r="N23" s="279">
        <f>ROUND(VLOOKUP($E23,'[1]BDEW-Standard'!$B$3:$M$158,N$9,0),7)</f>
        <v>0</v>
      </c>
      <c r="O23" s="279">
        <f>ROUND(VLOOKUP($E23,'[1]BDEW-Standard'!$B$3:$M$158,O$9,0),7)</f>
        <v>0</v>
      </c>
      <c r="P23" s="279">
        <f>ROUND(VLOOKUP($E23,'[1]BDEW-Standard'!$B$3:$M$158,P$9,0),7)</f>
        <v>0</v>
      </c>
      <c r="Q23" s="353">
        <f t="shared" si="1"/>
        <v>0.75691065279879233</v>
      </c>
      <c r="R23" s="281">
        <f>ROUND(VLOOKUP(MID($E23,4,3),'[1]Wochentag F(WT)'!$B$7:$J$22,R$9,0),4)</f>
        <v>1.0214000000000001</v>
      </c>
      <c r="S23" s="281">
        <f>ROUND(VLOOKUP(MID($E23,4,3),'[1]Wochentag F(WT)'!$B$7:$J$22,S$9,0),4)</f>
        <v>1.0866</v>
      </c>
      <c r="T23" s="281">
        <f>ROUND(VLOOKUP(MID($E23,4,3),'[1]Wochentag F(WT)'!$B$7:$J$22,T$9,0),4)</f>
        <v>1.0720000000000001</v>
      </c>
      <c r="U23" s="281">
        <f>ROUND(VLOOKUP(MID($E23,4,3),'[1]Wochentag F(WT)'!$B$7:$J$22,U$9,0),4)</f>
        <v>1.0557000000000001</v>
      </c>
      <c r="V23" s="281">
        <f>ROUND(VLOOKUP(MID($E23,4,3),'[1]Wochentag F(WT)'!$B$7:$J$22,V$9,0),4)</f>
        <v>1.0117</v>
      </c>
      <c r="W23" s="281">
        <f>ROUND(VLOOKUP(MID($E23,4,3),'[1]Wochentag F(WT)'!$B$7:$J$22,W$9,0),4)</f>
        <v>0.90010000000000001</v>
      </c>
      <c r="X23" s="282">
        <f t="shared" si="2"/>
        <v>0.85249999999999915</v>
      </c>
      <c r="Y23" s="303"/>
      <c r="Z23" s="213"/>
    </row>
    <row r="24" spans="2:26" s="144" customFormat="1">
      <c r="B24" s="145">
        <v>13</v>
      </c>
      <c r="C24" s="146" t="str">
        <f t="shared" si="0"/>
        <v>Mindener Stadtwerke GmbH</v>
      </c>
      <c r="D24" s="63" t="s">
        <v>248</v>
      </c>
      <c r="E24" s="166" t="s">
        <v>675</v>
      </c>
      <c r="F24" s="307" t="str">
        <f>VLOOKUP($E24,'[1]BDEW-Standard'!$B$3:$M$158,F$9,0)</f>
        <v>WA4</v>
      </c>
      <c r="H24" s="279">
        <f>ROUND(VLOOKUP($E24,'[1]BDEW-Standard'!$B$3:$M$158,H$9,0),7)</f>
        <v>1.0535874999999999</v>
      </c>
      <c r="I24" s="279">
        <f>ROUND(VLOOKUP($E24,'[1]BDEW-Standard'!$B$3:$M$158,I$9,0),7)</f>
        <v>-35.299999999999997</v>
      </c>
      <c r="J24" s="279">
        <f>ROUND(VLOOKUP($E24,'[1]BDEW-Standard'!$B$3:$M$158,J$9,0),7)</f>
        <v>4.8662747</v>
      </c>
      <c r="K24" s="279">
        <f>ROUND(VLOOKUP($E24,'[1]BDEW-Standard'!$B$3:$M$158,K$9,0),7)</f>
        <v>0.68110420000000005</v>
      </c>
      <c r="L24" s="352">
        <f>ROUND(VLOOKUP($E24,'[1]BDEW-Standard'!$B$3:$M$158,L$9,0),1)</f>
        <v>40</v>
      </c>
      <c r="M24" s="279">
        <f>ROUND(VLOOKUP($E24,'[1]BDEW-Standard'!$B$3:$M$158,M$9,0),7)</f>
        <v>0</v>
      </c>
      <c r="N24" s="279">
        <f>ROUND(VLOOKUP($E24,'[1]BDEW-Standard'!$B$3:$M$158,N$9,0),7)</f>
        <v>0</v>
      </c>
      <c r="O24" s="279">
        <f>ROUND(VLOOKUP($E24,'[1]BDEW-Standard'!$B$3:$M$158,O$9,0),7)</f>
        <v>0</v>
      </c>
      <c r="P24" s="279">
        <f>ROUND(VLOOKUP($E24,'[1]BDEW-Standard'!$B$3:$M$158,P$9,0),7)</f>
        <v>0</v>
      </c>
      <c r="Q24" s="353">
        <f t="shared" si="1"/>
        <v>1.0844348950990992</v>
      </c>
      <c r="R24" s="281">
        <f>ROUND(VLOOKUP(MID($E24,4,3),'[1]Wochentag F(WT)'!$B$7:$J$22,R$9,0),4)</f>
        <v>1.2457</v>
      </c>
      <c r="S24" s="281">
        <f>ROUND(VLOOKUP(MID($E24,4,3),'[1]Wochentag F(WT)'!$B$7:$J$22,S$9,0),4)</f>
        <v>1.2615000000000001</v>
      </c>
      <c r="T24" s="281">
        <f>ROUND(VLOOKUP(MID($E24,4,3),'[1]Wochentag F(WT)'!$B$7:$J$22,T$9,0),4)</f>
        <v>1.2706999999999999</v>
      </c>
      <c r="U24" s="281">
        <f>ROUND(VLOOKUP(MID($E24,4,3),'[1]Wochentag F(WT)'!$B$7:$J$22,U$9,0),4)</f>
        <v>1.2430000000000001</v>
      </c>
      <c r="V24" s="281">
        <f>ROUND(VLOOKUP(MID($E24,4,3),'[1]Wochentag F(WT)'!$B$7:$J$22,V$9,0),4)</f>
        <v>1.1275999999999999</v>
      </c>
      <c r="W24" s="281">
        <f>ROUND(VLOOKUP(MID($E24,4,3),'[1]Wochentag F(WT)'!$B$7:$J$22,W$9,0),4)</f>
        <v>0.38769999999999999</v>
      </c>
      <c r="X24" s="282">
        <f t="shared" si="2"/>
        <v>0.46379999999999999</v>
      </c>
      <c r="Y24" s="303"/>
      <c r="Z24" s="213"/>
    </row>
    <row r="25" spans="2:26" s="144" customFormat="1">
      <c r="B25" s="145">
        <v>14</v>
      </c>
      <c r="C25" s="146" t="str">
        <f t="shared" si="0"/>
        <v>Mindener Stadtwerke GmbH</v>
      </c>
      <c r="D25" s="63" t="s">
        <v>248</v>
      </c>
      <c r="E25" s="166" t="s">
        <v>4</v>
      </c>
      <c r="F25" s="307" t="str">
        <f>VLOOKUP($E25,'[1]BDEW-Standard'!$B$3:$M$158,F$9,0)</f>
        <v>HK3</v>
      </c>
      <c r="H25" s="279">
        <f>ROUND(VLOOKUP($E25,'[1]BDEW-Standard'!$B$3:$M$158,H$9,0),7)</f>
        <v>0.40409319999999999</v>
      </c>
      <c r="I25" s="279">
        <f>ROUND(VLOOKUP($E25,'[1]BDEW-Standard'!$B$3:$M$158,I$9,0),7)</f>
        <v>-24.439296800000001</v>
      </c>
      <c r="J25" s="279">
        <f>ROUND(VLOOKUP($E25,'[1]BDEW-Standard'!$B$3:$M$158,J$9,0),7)</f>
        <v>6.5718174999999999</v>
      </c>
      <c r="K25" s="279">
        <f>ROUND(VLOOKUP($E25,'[1]BDEW-Standard'!$B$3:$M$158,K$9,0),7)</f>
        <v>0.71077100000000004</v>
      </c>
      <c r="L25" s="352">
        <f>ROUND(VLOOKUP($E25,'[1]BDEW-Standard'!$B$3:$M$158,L$9,0),1)</f>
        <v>40</v>
      </c>
      <c r="M25" s="279">
        <f>ROUND(VLOOKUP($E25,'[1]BDEW-Standard'!$B$3:$M$158,M$9,0),7)</f>
        <v>0</v>
      </c>
      <c r="N25" s="279">
        <f>ROUND(VLOOKUP($E25,'[1]BDEW-Standard'!$B$3:$M$158,N$9,0),7)</f>
        <v>0</v>
      </c>
      <c r="O25" s="279">
        <f>ROUND(VLOOKUP($E25,'[1]BDEW-Standard'!$B$3:$M$158,O$9,0),7)</f>
        <v>0</v>
      </c>
      <c r="P25" s="279">
        <f>ROUND(VLOOKUP($E25,'[1]BDEW-Standard'!$B$3:$M$158,P$9,0),7)</f>
        <v>0</v>
      </c>
      <c r="Q25" s="353">
        <f t="shared" si="1"/>
        <v>1.0561214000512988</v>
      </c>
      <c r="R25" s="281">
        <f>ROUND(VLOOKUP(MID($E25,4,3),'[1]Wochentag F(WT)'!$B$7:$J$22,R$9,0),4)</f>
        <v>1</v>
      </c>
      <c r="S25" s="281">
        <f>ROUND(VLOOKUP(MID($E25,4,3),'[1]Wochentag F(WT)'!$B$7:$J$22,S$9,0),4)</f>
        <v>1</v>
      </c>
      <c r="T25" s="281">
        <f>ROUND(VLOOKUP(MID($E25,4,3),'[1]Wochentag F(WT)'!$B$7:$J$22,T$9,0),4)</f>
        <v>1</v>
      </c>
      <c r="U25" s="281">
        <f>ROUND(VLOOKUP(MID($E25,4,3),'[1]Wochentag F(WT)'!$B$7:$J$22,U$9,0),4)</f>
        <v>1</v>
      </c>
      <c r="V25" s="281">
        <f>ROUND(VLOOKUP(MID($E25,4,3),'[1]Wochentag F(WT)'!$B$7:$J$22,V$9,0),4)</f>
        <v>1</v>
      </c>
      <c r="W25" s="281">
        <f>ROUND(VLOOKUP(MID($E25,4,3),'[1]Wochentag F(WT)'!$B$7:$J$22,W$9,0),4)</f>
        <v>1</v>
      </c>
      <c r="X25" s="282">
        <f t="shared" si="2"/>
        <v>1</v>
      </c>
      <c r="Y25" s="303"/>
      <c r="Z25" s="213"/>
    </row>
    <row r="26" spans="2:26" s="144" customFormat="1">
      <c r="B26" s="145">
        <v>15</v>
      </c>
      <c r="C26" s="146" t="str">
        <f t="shared" si="0"/>
        <v>Mindener Stadtwerke GmbH</v>
      </c>
      <c r="D26" s="63" t="s">
        <v>248</v>
      </c>
      <c r="E26" s="166" t="s">
        <v>676</v>
      </c>
      <c r="F26" s="307" t="str">
        <f>VLOOKUP($E26,'[1]BDEW-Standard'!$B$3:$M$158,F$9,0)</f>
        <v>KO4</v>
      </c>
      <c r="H26" s="279">
        <f>ROUND(VLOOKUP($E26,'[1]BDEW-Standard'!$B$3:$M$158,H$9,0),7)</f>
        <v>3.4428942999999999</v>
      </c>
      <c r="I26" s="279">
        <f>ROUND(VLOOKUP($E26,'[1]BDEW-Standard'!$B$3:$M$158,I$9,0),7)</f>
        <v>-36.659050399999998</v>
      </c>
      <c r="J26" s="279">
        <f>ROUND(VLOOKUP($E26,'[1]BDEW-Standard'!$B$3:$M$158,J$9,0),7)</f>
        <v>7.6083226000000002</v>
      </c>
      <c r="K26" s="279">
        <f>ROUND(VLOOKUP($E26,'[1]BDEW-Standard'!$B$3:$M$158,K$9,0),7)</f>
        <v>7.4685000000000001E-2</v>
      </c>
      <c r="L26" s="352">
        <f>ROUND(VLOOKUP($E26,'[1]BDEW-Standard'!$B$3:$M$158,L$9,0),1)</f>
        <v>40</v>
      </c>
      <c r="M26" s="279">
        <f>ROUND(VLOOKUP($E26,'[1]BDEW-Standard'!$B$3:$M$158,M$9,0),7)</f>
        <v>0</v>
      </c>
      <c r="N26" s="279">
        <f>ROUND(VLOOKUP($E26,'[1]BDEW-Standard'!$B$3:$M$158,N$9,0),7)</f>
        <v>0</v>
      </c>
      <c r="O26" s="279">
        <f>ROUND(VLOOKUP($E26,'[1]BDEW-Standard'!$B$3:$M$158,O$9,0),7)</f>
        <v>0</v>
      </c>
      <c r="P26" s="279">
        <f>ROUND(VLOOKUP($E26,'[1]BDEW-Standard'!$B$3:$M$158,P$9,0),7)</f>
        <v>0</v>
      </c>
      <c r="Q26" s="353">
        <f t="shared" si="1"/>
        <v>0.97768382110526542</v>
      </c>
      <c r="R26" s="281">
        <f>ROUND(VLOOKUP(MID($E26,4,3),'[1]Wochentag F(WT)'!$B$7:$J$22,R$9,0),4)</f>
        <v>1.0354000000000001</v>
      </c>
      <c r="S26" s="281">
        <f>ROUND(VLOOKUP(MID($E26,4,3),'[1]Wochentag F(WT)'!$B$7:$J$22,S$9,0),4)</f>
        <v>1.0523</v>
      </c>
      <c r="T26" s="281">
        <f>ROUND(VLOOKUP(MID($E26,4,3),'[1]Wochentag F(WT)'!$B$7:$J$22,T$9,0),4)</f>
        <v>1.0448999999999999</v>
      </c>
      <c r="U26" s="281">
        <f>ROUND(VLOOKUP(MID($E26,4,3),'[1]Wochentag F(WT)'!$B$7:$J$22,U$9,0),4)</f>
        <v>1.0494000000000001</v>
      </c>
      <c r="V26" s="281">
        <f>ROUND(VLOOKUP(MID($E26,4,3),'[1]Wochentag F(WT)'!$B$7:$J$22,V$9,0),4)</f>
        <v>0.98850000000000005</v>
      </c>
      <c r="W26" s="281">
        <f>ROUND(VLOOKUP(MID($E26,4,3),'[1]Wochentag F(WT)'!$B$7:$J$22,W$9,0),4)</f>
        <v>0.88600000000000001</v>
      </c>
      <c r="X26" s="282">
        <f t="shared" si="2"/>
        <v>0.94349999999999934</v>
      </c>
      <c r="Y26" s="303"/>
      <c r="Z26" s="213"/>
    </row>
    <row r="27" spans="2:26" s="144" customFormat="1">
      <c r="B27" s="145">
        <v>16</v>
      </c>
      <c r="C27" s="146" t="str">
        <f t="shared" si="0"/>
        <v>Mindener Stadtwerke GmbH</v>
      </c>
      <c r="D27" s="63"/>
      <c r="E27" s="167"/>
      <c r="F27" s="307"/>
      <c r="H27" s="283"/>
      <c r="I27" s="283"/>
      <c r="J27" s="283"/>
      <c r="K27" s="283"/>
      <c r="L27" s="280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4" customFormat="1">
      <c r="B28" s="145">
        <v>17</v>
      </c>
      <c r="C28" s="146" t="str">
        <f t="shared" si="0"/>
        <v>Mindener Stadtwerke GmbH</v>
      </c>
      <c r="D28" s="63"/>
      <c r="E28" s="167"/>
      <c r="F28" s="307"/>
      <c r="H28" s="283"/>
      <c r="I28" s="283"/>
      <c r="J28" s="283"/>
      <c r="K28" s="283"/>
      <c r="L28" s="280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4" customFormat="1">
      <c r="B29" s="145">
        <v>18</v>
      </c>
      <c r="C29" s="146" t="str">
        <f t="shared" si="0"/>
        <v>Mindener Stadtwerke GmbH</v>
      </c>
      <c r="D29" s="63"/>
      <c r="E29" s="167"/>
      <c r="F29" s="307"/>
      <c r="H29" s="283"/>
      <c r="I29" s="283"/>
      <c r="J29" s="283"/>
      <c r="K29" s="283"/>
      <c r="L29" s="280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4" customFormat="1">
      <c r="B30" s="145">
        <v>19</v>
      </c>
      <c r="C30" s="146" t="str">
        <f t="shared" si="0"/>
        <v>Mindener Stadtwerke GmbH</v>
      </c>
      <c r="D30" s="63"/>
      <c r="E30" s="167"/>
      <c r="F30" s="307"/>
      <c r="H30" s="283"/>
      <c r="I30" s="283"/>
      <c r="J30" s="283"/>
      <c r="K30" s="283"/>
      <c r="L30" s="280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4" customFormat="1">
      <c r="B31" s="145">
        <v>20</v>
      </c>
      <c r="C31" s="146" t="str">
        <f t="shared" si="0"/>
        <v>Mindener Stadtwerke GmbH</v>
      </c>
      <c r="D31" s="63"/>
      <c r="E31" s="167"/>
      <c r="F31" s="307"/>
      <c r="H31" s="283"/>
      <c r="I31" s="283"/>
      <c r="J31" s="283"/>
      <c r="K31" s="283"/>
      <c r="L31" s="280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4" customFormat="1">
      <c r="B32" s="145">
        <v>21</v>
      </c>
      <c r="C32" s="146" t="str">
        <f t="shared" si="0"/>
        <v>Mindener Stadtwerke GmbH</v>
      </c>
      <c r="D32" s="63"/>
      <c r="E32" s="167"/>
      <c r="F32" s="307"/>
      <c r="H32" s="283"/>
      <c r="I32" s="283"/>
      <c r="J32" s="283"/>
      <c r="K32" s="283"/>
      <c r="L32" s="280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4" customFormat="1">
      <c r="B33" s="145">
        <v>22</v>
      </c>
      <c r="C33" s="146" t="str">
        <f t="shared" si="0"/>
        <v>Mindener Stadtwerke GmbH</v>
      </c>
      <c r="D33" s="63"/>
      <c r="E33" s="167"/>
      <c r="F33" s="307"/>
      <c r="H33" s="283"/>
      <c r="I33" s="283"/>
      <c r="J33" s="283"/>
      <c r="K33" s="283"/>
      <c r="L33" s="280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4" customFormat="1">
      <c r="B34" s="145">
        <v>23</v>
      </c>
      <c r="C34" s="146" t="str">
        <f t="shared" si="0"/>
        <v>Mindener Stadtwerke GmbH</v>
      </c>
      <c r="D34" s="63"/>
      <c r="E34" s="167"/>
      <c r="F34" s="307"/>
      <c r="H34" s="283"/>
      <c r="I34" s="283"/>
      <c r="J34" s="283"/>
      <c r="K34" s="283"/>
      <c r="L34" s="280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4" customFormat="1">
      <c r="B35" s="145">
        <v>24</v>
      </c>
      <c r="C35" s="146" t="str">
        <f t="shared" si="0"/>
        <v>Mindener Stadtwerke GmbH</v>
      </c>
      <c r="D35" s="63"/>
      <c r="E35" s="167"/>
      <c r="F35" s="307"/>
      <c r="H35" s="283"/>
      <c r="I35" s="283"/>
      <c r="J35" s="283"/>
      <c r="K35" s="283"/>
      <c r="L35" s="280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4" customFormat="1">
      <c r="B36" s="145">
        <v>25</v>
      </c>
      <c r="C36" s="146" t="str">
        <f t="shared" si="0"/>
        <v>Mindener Stadtwerke GmbH</v>
      </c>
      <c r="D36" s="63"/>
      <c r="E36" s="167"/>
      <c r="F36" s="307"/>
      <c r="H36" s="283"/>
      <c r="I36" s="283"/>
      <c r="J36" s="283"/>
      <c r="K36" s="283"/>
      <c r="L36" s="280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4" customFormat="1">
      <c r="B37" s="145">
        <v>26</v>
      </c>
      <c r="C37" s="146" t="str">
        <f t="shared" si="0"/>
        <v>Mindener Stadtwerke GmbH</v>
      </c>
      <c r="D37" s="63"/>
      <c r="E37" s="167"/>
      <c r="F37" s="307"/>
      <c r="H37" s="283"/>
      <c r="I37" s="283"/>
      <c r="J37" s="283"/>
      <c r="K37" s="283"/>
      <c r="L37" s="280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4" customFormat="1">
      <c r="B38" s="145">
        <v>27</v>
      </c>
      <c r="C38" s="146" t="str">
        <f t="shared" si="0"/>
        <v>Mindener Stadtwerke GmbH</v>
      </c>
      <c r="D38" s="63"/>
      <c r="E38" s="167"/>
      <c r="F38" s="307"/>
      <c r="H38" s="283"/>
      <c r="I38" s="283"/>
      <c r="J38" s="283"/>
      <c r="K38" s="283"/>
      <c r="L38" s="280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4" customFormat="1">
      <c r="B39" s="145">
        <v>28</v>
      </c>
      <c r="C39" s="146" t="str">
        <f t="shared" si="0"/>
        <v>Mindener Stadtwerke GmbH</v>
      </c>
      <c r="D39" s="63"/>
      <c r="E39" s="167"/>
      <c r="F39" s="307"/>
      <c r="H39" s="283"/>
      <c r="I39" s="283"/>
      <c r="J39" s="283"/>
      <c r="K39" s="283"/>
      <c r="L39" s="280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4" customFormat="1">
      <c r="B40" s="145">
        <v>29</v>
      </c>
      <c r="C40" s="146" t="str">
        <f t="shared" si="0"/>
        <v>Mindener Stadtwerke GmbH</v>
      </c>
      <c r="D40" s="63"/>
      <c r="E40" s="167"/>
      <c r="F40" s="307"/>
      <c r="H40" s="283"/>
      <c r="I40" s="283"/>
      <c r="J40" s="283"/>
      <c r="K40" s="283"/>
      <c r="L40" s="280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4" customFormat="1">
      <c r="B41" s="145">
        <v>30</v>
      </c>
      <c r="C41" s="146" t="str">
        <f t="shared" si="0"/>
        <v>Mindener Stadtwerke GmbH</v>
      </c>
      <c r="D41" s="63"/>
      <c r="E41" s="167"/>
      <c r="F41" s="307"/>
      <c r="H41" s="283"/>
      <c r="I41" s="283"/>
      <c r="J41" s="283"/>
      <c r="K41" s="283"/>
      <c r="L41" s="280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H27:Y41 F27:F41">
    <cfRule type="expression" dxfId="16" priority="16">
      <formula>ISERROR(F11)</formula>
    </cfRule>
  </conditionalFormatting>
  <conditionalFormatting sqref="E27:F41 Y27:Y41">
    <cfRule type="duplicateValues" dxfId="15" priority="38"/>
  </conditionalFormatting>
  <conditionalFormatting sqref="F12:F26 H12:K26 M12:P26 R12:Y26">
    <cfRule type="expression" dxfId="14" priority="5">
      <formula>ISERROR(F12)</formula>
    </cfRule>
  </conditionalFormatting>
  <conditionalFormatting sqref="Y12:Y26 F12:F26">
    <cfRule type="duplicateValues" dxfId="13" priority="7"/>
  </conditionalFormatting>
  <conditionalFormatting sqref="L12:L26">
    <cfRule type="expression" dxfId="12" priority="3">
      <formula>ISERROR(L12)</formula>
    </cfRule>
  </conditionalFormatting>
  <conditionalFormatting sqref="Q12:Q26">
    <cfRule type="expression" dxfId="11" priority="2">
      <formula>ISERROR(Q12)</formula>
    </cfRule>
  </conditionalFormatting>
  <conditionalFormatting sqref="E12:E26">
    <cfRule type="duplicateValues" dxfId="10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 D27:D41</xm:sqref>
        </x14:conditionalFormatting>
        <x14:conditionalFormatting xmlns:xm="http://schemas.microsoft.com/office/excel/2006/main">
          <x14:cfRule type="cellIs" priority="9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 Y27:Y41</xm:sqref>
        </x14:conditionalFormatting>
        <x14:conditionalFormatting xmlns:xm="http://schemas.microsoft.com/office/excel/2006/main">
          <x14:cfRule type="expression" priority="4" id="{9B745928-43E7-4E19-90D1-A305CDC8C513}">
            <xm:f>IF('C:\Mindener Stadtwerke\Energiedaten_Netznutzung\Netzwirtschaft Gas\Verträge\Lieferantenrahmenverträge\Anlagen MSW für Lieferant - KOV X\[MSW_Verfahrensspezifische_Parameter_Gas_20161130.xlsx]SLP-Verfahren'!#REF!='C:\Mindener Stadtwerke\Energiedaten_Netznutzung\Netzwirtschaft Gas\Verträge\Lieferantenrahmenverträge\Anlagen MSW für Lieferant - KOV X\[MSW_Verfahrensspezifische_Parameter_Gas_20161130.xlsx]SLP-Verfahren'!#REF!,1,0)</xm:f>
            <x14:dxf>
              <fill>
                <patternFill>
                  <bgColor theme="2"/>
                </patternFill>
              </fill>
            </x14:dxf>
          </x14:cfRule>
          <xm:sqref>Y12:Y26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'F:\Mindener Stadtwerke\Energiedaten_Netznutzung\Netzwirtschaft Gas\Verträge\Lieferantenrahmenverträge\Anlagen MSW für Lieferant - KOV X\[MSW_Verfahrensspezifische_Parameter_Gas_20161130.xlsx]BDEW-Standard'!#REF!</xm:f>
          </x14:formula1>
          <xm:sqref>E12:E26</xm:sqref>
        </x14:dataValidation>
        <x14:dataValidation type="list" allowBlank="1" showInputMessage="1" showErrorMessage="1">
          <x14:formula1>
            <xm:f>'F:\Mindener Stadtwerke\Energiedaten_Netznutzung\Netzwirtschaft Gas\Verträge\Lieferantenrahmenverträge\Anlagen MSW für Lieferant - KOV X\[MSW_Verfahrensspezifische_Parameter_Gas_20161130.xlsx]BDEW-Standard'!#REF!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545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B8" sqref="B8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Mindener Stadtwerke GmbH</v>
      </c>
      <c r="D4" s="77"/>
      <c r="G4" s="77"/>
      <c r="I4" s="77"/>
      <c r="J4" s="78"/>
      <c r="M4" s="87" t="s">
        <v>539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Mindener Stadtwerke GmbH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9870120800007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44562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4" t="s">
        <v>583</v>
      </c>
      <c r="C10" s="365"/>
      <c r="D10" s="95">
        <v>2</v>
      </c>
      <c r="E10" s="96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4">
        <f>MIN(SUMPRODUCT($M$11:$AD$11,M12:AD12),1)</f>
        <v>1</v>
      </c>
      <c r="F12" s="311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5">
        <f t="shared" ref="E13:E35" si="0">MIN(SUMPRODUCT($M$11:$AD$11,M13:AD13),1)</f>
        <v>0</v>
      </c>
      <c r="F13" s="312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5">
        <f t="shared" si="0"/>
        <v>0</v>
      </c>
      <c r="F14" s="312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5">
        <f t="shared" si="0"/>
        <v>0</v>
      </c>
      <c r="F15" s="312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5">
        <f t="shared" si="0"/>
        <v>1</v>
      </c>
      <c r="F16" s="312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5">
        <f t="shared" si="0"/>
        <v>1</v>
      </c>
      <c r="F17" s="312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5">
        <f t="shared" si="0"/>
        <v>1</v>
      </c>
      <c r="F18" s="312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39" t="s">
        <v>651</v>
      </c>
      <c r="C19" s="340"/>
      <c r="D19" s="112"/>
      <c r="E19" s="315">
        <v>1</v>
      </c>
      <c r="F19" s="312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5">
        <f t="shared" si="0"/>
        <v>1</v>
      </c>
      <c r="F20" s="312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649</v>
      </c>
      <c r="C21" s="118"/>
      <c r="D21" s="112">
        <v>12</v>
      </c>
      <c r="E21" s="315">
        <f t="shared" si="0"/>
        <v>1</v>
      </c>
      <c r="F21" s="312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5">
        <f t="shared" si="0"/>
        <v>1</v>
      </c>
      <c r="F22" s="312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5">
        <f t="shared" si="0"/>
        <v>1</v>
      </c>
      <c r="F23" s="312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5">
        <f t="shared" si="0"/>
        <v>0</v>
      </c>
      <c r="F24" s="312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>
        <v>1</v>
      </c>
    </row>
    <row r="25" spans="2:30" ht="15">
      <c r="B25" s="117" t="s">
        <v>402</v>
      </c>
      <c r="C25" s="118"/>
      <c r="D25" s="112">
        <v>16</v>
      </c>
      <c r="E25" s="315">
        <f t="shared" si="0"/>
        <v>0</v>
      </c>
      <c r="F25" s="312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5">
        <f t="shared" si="0"/>
        <v>0</v>
      </c>
      <c r="F26" s="312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39" t="s">
        <v>650</v>
      </c>
      <c r="C27" s="340"/>
      <c r="D27" s="112"/>
      <c r="E27" s="315">
        <v>1</v>
      </c>
      <c r="F27" s="312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5">
        <f t="shared" si="0"/>
        <v>1</v>
      </c>
      <c r="F28" s="312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3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70"/>
    </row>
    <row r="30" spans="2:30" ht="15">
      <c r="B30" s="117" t="s">
        <v>406</v>
      </c>
      <c r="C30" s="118"/>
      <c r="D30" s="112">
        <v>20</v>
      </c>
      <c r="E30" s="315">
        <f t="shared" si="0"/>
        <v>0</v>
      </c>
      <c r="F30" s="312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>
        <v>1</v>
      </c>
    </row>
    <row r="31" spans="2:30" ht="15">
      <c r="B31" s="117" t="s">
        <v>407</v>
      </c>
      <c r="C31" s="118"/>
      <c r="D31" s="112">
        <v>21</v>
      </c>
      <c r="E31" s="315">
        <f t="shared" si="0"/>
        <v>0</v>
      </c>
      <c r="F31" s="312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5">
        <f t="shared" si="0"/>
        <v>0</v>
      </c>
      <c r="F32" s="312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5">
        <f t="shared" si="0"/>
        <v>1</v>
      </c>
      <c r="F33" s="312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5">
        <f t="shared" si="0"/>
        <v>1</v>
      </c>
      <c r="F34" s="312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6">
        <f t="shared" si="0"/>
        <v>0</v>
      </c>
      <c r="F35" s="313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545</v>
      </c>
    </row>
    <row r="2" spans="1:16">
      <c r="A2" s="238"/>
      <c r="B2" s="237" t="s">
        <v>453</v>
      </c>
    </row>
    <row r="3" spans="1:16" ht="20.100000000000001" customHeight="1">
      <c r="A3" s="366" t="s">
        <v>249</v>
      </c>
      <c r="B3" s="239" t="s">
        <v>86</v>
      </c>
      <c r="C3" s="240"/>
      <c r="D3" s="368" t="s">
        <v>454</v>
      </c>
      <c r="E3" s="369"/>
      <c r="F3" s="369"/>
      <c r="G3" s="369"/>
      <c r="H3" s="369"/>
      <c r="I3" s="369"/>
      <c r="J3" s="370"/>
      <c r="K3" s="241"/>
      <c r="L3" s="241"/>
      <c r="M3" s="241"/>
      <c r="N3" s="241"/>
      <c r="O3" s="242"/>
      <c r="P3" s="241"/>
    </row>
    <row r="4" spans="1:16" ht="20.100000000000001" customHeight="1">
      <c r="A4" s="367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Seehafer, Martin</cp:lastModifiedBy>
  <cp:lastPrinted>2015-03-20T22:59:10Z</cp:lastPrinted>
  <dcterms:created xsi:type="dcterms:W3CDTF">2015-01-15T05:25:41Z</dcterms:created>
  <dcterms:modified xsi:type="dcterms:W3CDTF">2022-02-14T14:56:47Z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